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955" activeTab="0"/>
  </bookViews>
  <sheets>
    <sheet name="освещ." sheetId="1" r:id="rId1"/>
  </sheets>
  <externalReferences>
    <externalReference r:id="rId4"/>
  </externalReferences>
  <definedNames>
    <definedName name="___mm1" localSheetId="0">#REF!</definedName>
    <definedName name="___mm1">#REF!</definedName>
    <definedName name="__mm1" localSheetId="0">#REF!</definedName>
    <definedName name="__mm1">#REF!</definedName>
    <definedName name="_def1999" localSheetId="0">#REF!</definedName>
    <definedName name="_def1999">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m1" localSheetId="0">#REF!</definedName>
    <definedName name="_mm1">#REF!</definedName>
    <definedName name="a04t" localSheetId="0">#REF!</definedName>
    <definedName name="a04t">#REF!</definedName>
    <definedName name="ddd" localSheetId="0">#REF!</definedName>
    <definedName name="ddd">#REF!</definedName>
    <definedName name="DOLL" localSheetId="0">#REF!</definedName>
    <definedName name="DOLL">#REF!</definedName>
    <definedName name="ff" localSheetId="0">#REF!</definedName>
    <definedName name="ff">#REF!</definedName>
    <definedName name="fffff" localSheetId="0">#REF!</definedName>
    <definedName name="fffff">#REF!</definedName>
    <definedName name="gggg" localSheetId="0">#REF!</definedName>
    <definedName name="gggg">#REF!</definedName>
    <definedName name="jjjj" localSheetId="0">#REF!</definedName>
    <definedName name="jjjj">#REF!</definedName>
    <definedName name="time" localSheetId="0">#REF!</definedName>
    <definedName name="time">#REF!</definedName>
    <definedName name="title" localSheetId="0">#REF!</definedName>
    <definedName name="title">#REF!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#REF!</definedName>
    <definedName name="АнМ">#REF!</definedName>
    <definedName name="вв" localSheetId="0">#REF!</definedName>
    <definedName name="вв">#REF!</definedName>
    <definedName name="Вып_н_2003" localSheetId="0">#REF!</definedName>
    <definedName name="Вып_н_2003">#REF!</definedName>
    <definedName name="вып_н_2004" localSheetId="0">#REF!</definedName>
    <definedName name="вып_н_2004">#REF!</definedName>
    <definedName name="Вып_ОФ_с_пц" localSheetId="0">#REF!</definedName>
    <definedName name="Вып_ОФ_с_пц">#REF!</definedName>
    <definedName name="Вып_оф_с_цпг" localSheetId="0">#REF!</definedName>
    <definedName name="Вып_оф_с_цпг">#REF!</definedName>
    <definedName name="Вып_с_новых_ОФ" localSheetId="0">#REF!</definedName>
    <definedName name="Вып_с_новых_ОФ">#REF!</definedName>
    <definedName name="График">"Диагр. 4"</definedName>
    <definedName name="Дефл_ц_пред_год" localSheetId="0">#REF!</definedName>
    <definedName name="Дефл_ц_пред_год">#REF!</definedName>
    <definedName name="Дефлятор_годовой" localSheetId="0">#REF!</definedName>
    <definedName name="Дефлятор_годовой">#REF!</definedName>
    <definedName name="Дефлятор_цепной" localSheetId="0">#REF!</definedName>
    <definedName name="Дефлятор_цепной">#REF!</definedName>
    <definedName name="ДС" localSheetId="0">#REF!</definedName>
    <definedName name="ДС">#REF!</definedName>
    <definedName name="иии" localSheetId="0">#REF!</definedName>
    <definedName name="иии">#REF!</definedName>
    <definedName name="ллл" localSheetId="0">#REF!</definedName>
    <definedName name="ллл">#REF!</definedName>
    <definedName name="М1" localSheetId="0">#REF!</definedName>
    <definedName name="М1">#REF!</definedName>
    <definedName name="Модель2" localSheetId="0">#REF!</definedName>
    <definedName name="Модель2">#REF!</definedName>
    <definedName name="Мониторинг1" localSheetId="0">#REF!</definedName>
    <definedName name="Мониторинг1">#REF!</definedName>
    <definedName name="новые_ОФ_2003" localSheetId="0">#REF!</definedName>
    <definedName name="новые_ОФ_2003">#REF!</definedName>
    <definedName name="новые_ОФ_2004" localSheetId="0">#REF!</definedName>
    <definedName name="новые_ОФ_2004">#REF!</definedName>
    <definedName name="новые_ОФ_а_всего" localSheetId="0">#REF!</definedName>
    <definedName name="новые_ОФ_а_всего">#REF!</definedName>
    <definedName name="новые_ОФ_всего" localSheetId="0">#REF!</definedName>
    <definedName name="новые_ОФ_всего">#REF!</definedName>
    <definedName name="новые_ОФ_п_всего" localSheetId="0">#REF!</definedName>
    <definedName name="новые_ОФ_п_всего">#REF!</definedName>
    <definedName name="_xlnm.Print_Area" localSheetId="0">'освещ.'!$A$1:$CU$74</definedName>
    <definedName name="окраска_05" localSheetId="0">#REF!</definedName>
    <definedName name="окраска_05">#REF!</definedName>
    <definedName name="окраска_06" localSheetId="0">#REF!</definedName>
    <definedName name="окраска_06">#REF!</definedName>
    <definedName name="окраска_07" localSheetId="0">#REF!</definedName>
    <definedName name="окраска_07">#REF!</definedName>
    <definedName name="окраска_08" localSheetId="0">#REF!</definedName>
    <definedName name="окраска_08">#REF!</definedName>
    <definedName name="окраска_09" localSheetId="0">#REF!</definedName>
    <definedName name="окраска_09">#REF!</definedName>
    <definedName name="окраска_10" localSheetId="0">#REF!</definedName>
    <definedName name="окраска_10">#REF!</definedName>
    <definedName name="окраска_11" localSheetId="0">#REF!</definedName>
    <definedName name="окраска_11">#REF!</definedName>
    <definedName name="окраска_12" localSheetId="0">#REF!</definedName>
    <definedName name="окраска_12">#REF!</definedName>
    <definedName name="окраска_13" localSheetId="0">#REF!</definedName>
    <definedName name="окраска_13">#REF!</definedName>
    <definedName name="окраска_14" localSheetId="0">#REF!</definedName>
    <definedName name="окраска_14">#REF!</definedName>
    <definedName name="окраска_15" localSheetId="0">#REF!</definedName>
    <definedName name="окраска_15">#REF!</definedName>
    <definedName name="ооо" localSheetId="0">#REF!</definedName>
    <definedName name="ооо">#REF!</definedName>
    <definedName name="ОФ_а_с_пц" localSheetId="0">#REF!</definedName>
    <definedName name="ОФ_а_с_пц">#REF!</definedName>
    <definedName name="оф_н_а_2003_пц" localSheetId="0">#REF!</definedName>
    <definedName name="оф_н_а_2003_пц">#REF!</definedName>
    <definedName name="оф_н_а_2004" localSheetId="0">#REF!</definedName>
    <definedName name="оф_н_а_2004">#REF!</definedName>
    <definedName name="ПОКАЗАТЕЛИ_ДОЛГОСР.ПРОГНОЗА" localSheetId="0">#REF!</definedName>
    <definedName name="ПОКАЗАТЕЛИ_ДОЛГОСР.ПРОГНОЗА">#REF!</definedName>
    <definedName name="ПОКАЗАТЕЛИ_ДОЛГОСР.ПРОГНОЗА_1" localSheetId="0">#REF!</definedName>
    <definedName name="ПОКАЗАТЕЛИ_ДОЛГОСР.ПРОГНОЗА_1">#REF!</definedName>
    <definedName name="ПОКАЗАТЕЛИ_ДОЛГОСР.ПРОГНОЗА_2" localSheetId="0">#REF!</definedName>
    <definedName name="ПОКАЗАТЕЛИ_ДОЛГОСР.ПРОГНОЗА_2">#REF!</definedName>
    <definedName name="ПОКАЗАТЕЛИ_ДОЛГОСР.ПРОГНОЗА_3" localSheetId="0">#REF!</definedName>
    <definedName name="ПОКАЗАТЕЛИ_ДОЛГОСР.ПРОГНОЗА_3">#REF!</definedName>
    <definedName name="ПОКАЗАТЕЛИ_ДОЛГОСР.ПРОГНОЗА_4" localSheetId="0">#REF!</definedName>
    <definedName name="ПОКАЗАТЕЛИ_ДОЛГОСР.ПРОГНОЗА_4">#REF!</definedName>
    <definedName name="ПОТР._РЫНОКДП" localSheetId="0">#REF!</definedName>
    <definedName name="ПОТР._РЫНОКДП">#REF!</definedName>
    <definedName name="Потреб_вып_всего" localSheetId="0">#REF!</definedName>
    <definedName name="Потреб_вып_всего">#REF!</definedName>
    <definedName name="Потреб_вып_оф_н_цпг" localSheetId="0">#REF!</definedName>
    <definedName name="Потреб_вып_оф_н_цпг">#REF!</definedName>
    <definedName name="ппп" localSheetId="0">#REF!</definedName>
    <definedName name="ппп">#REF!</definedName>
    <definedName name="пппп" localSheetId="0">#REF!</definedName>
    <definedName name="пппп">#REF!</definedName>
    <definedName name="Прогноз_Вып_пц" localSheetId="0">#REF!</definedName>
    <definedName name="Прогноз_Вып_пц">#REF!</definedName>
    <definedName name="Прогноз_вып_цпг" localSheetId="0">#REF!</definedName>
    <definedName name="Прогноз_вып_цпг">#REF!</definedName>
    <definedName name="Прогноз97" localSheetId="0">#REF!</definedName>
    <definedName name="Прогноз97">#REF!</definedName>
    <definedName name="ттт" localSheetId="0">#REF!</definedName>
    <definedName name="ттт">#REF!</definedName>
    <definedName name="фо_а_н_пц" localSheetId="0">#REF!</definedName>
    <definedName name="фо_а_н_пц">#REF!</definedName>
    <definedName name="фо_а_с_пц" localSheetId="0">#REF!</definedName>
    <definedName name="фо_а_с_пц">#REF!</definedName>
    <definedName name="фо_н_03" localSheetId="0">#REF!</definedName>
    <definedName name="фо_н_03">#REF!</definedName>
    <definedName name="фо_н_04" localSheetId="0">#REF!</definedName>
    <definedName name="фо_н_04">#REF!</definedName>
    <definedName name="фф" localSheetId="0">#REF!</definedName>
    <definedName name="фф">#REF!</definedName>
    <definedName name="ффф" localSheetId="0">#REF!</definedName>
    <definedName name="ффф">#REF!</definedName>
    <definedName name="ььь" localSheetId="0">#REF!</definedName>
    <definedName name="ььь">#REF!</definedName>
    <definedName name="э" localSheetId="0">#REF!</definedName>
    <definedName name="э">#REF!</definedName>
    <definedName name="юююю" localSheetId="0">#REF!</definedName>
    <definedName name="юююю">#REF!</definedName>
  </definedNames>
  <calcPr fullCalcOnLoad="1"/>
</workbook>
</file>

<file path=xl/sharedStrings.xml><?xml version="1.0" encoding="utf-8"?>
<sst xmlns="http://schemas.openxmlformats.org/spreadsheetml/2006/main" count="134" uniqueCount="96">
  <si>
    <t>СМЕТА</t>
  </si>
  <si>
    <t>на содержание и обслуживание уличного освещения  улиц города Югорска</t>
  </si>
  <si>
    <t>на 2013 год</t>
  </si>
  <si>
    <t>(тыс. руб.)</t>
  </si>
  <si>
    <t>№ п/п</t>
  </si>
  <si>
    <t>Наименование статьи</t>
  </si>
  <si>
    <t>Сумма на год</t>
  </si>
  <si>
    <t>в том числе по кварталам</t>
  </si>
  <si>
    <t>I</t>
  </si>
  <si>
    <t>II</t>
  </si>
  <si>
    <t>III</t>
  </si>
  <si>
    <t>IV</t>
  </si>
  <si>
    <t>Основная и дополнительная зарплата рабочих</t>
  </si>
  <si>
    <t>Страховые взносы на оплату труда</t>
  </si>
  <si>
    <t>Стоимость материалов для текущего ремонта и восстановления</t>
  </si>
  <si>
    <t>Транспортные расходы</t>
  </si>
  <si>
    <t>Электроэнергия</t>
  </si>
  <si>
    <t>Итого затрат</t>
  </si>
  <si>
    <t>Рентабельность 5% (без учета эл/энергии)</t>
  </si>
  <si>
    <t>Итого с рентабельностью</t>
  </si>
  <si>
    <t>НДС 18%</t>
  </si>
  <si>
    <t>Итого затраты с НДС</t>
  </si>
  <si>
    <t>Содержание заказчика</t>
  </si>
  <si>
    <t xml:space="preserve">Всего затрат </t>
  </si>
  <si>
    <t>Расчет</t>
  </si>
  <si>
    <t>на содержание и обслуживание уличного освещения  улиц города Югорска на 2013 год</t>
  </si>
  <si>
    <t xml:space="preserve">Заработная плата </t>
  </si>
  <si>
    <t>=</t>
  </si>
  <si>
    <t>числен., чел.</t>
  </si>
  <si>
    <t>час. тар. ст., руб.</t>
  </si>
  <si>
    <t>сумма по тарифу, руб.</t>
  </si>
  <si>
    <t>1.1</t>
  </si>
  <si>
    <t>Электромонтер 3 разряда</t>
  </si>
  <si>
    <t>1.3</t>
  </si>
  <si>
    <t>Электромонтер 5 разряда</t>
  </si>
  <si>
    <t>1.5</t>
  </si>
  <si>
    <r>
      <t xml:space="preserve">Мастер  9 разряда </t>
    </r>
    <r>
      <rPr>
        <sz val="10"/>
        <rFont val="Times New Roman Cyr"/>
        <family val="1"/>
      </rPr>
      <t>(бригадир)</t>
    </r>
  </si>
  <si>
    <t>Итого</t>
  </si>
  <si>
    <t>Итого среднее:</t>
  </si>
  <si>
    <t>руб.</t>
  </si>
  <si>
    <t>*</t>
  </si>
  <si>
    <t>ч/год</t>
  </si>
  <si>
    <t xml:space="preserve"> *</t>
  </si>
  <si>
    <t>(выслуга)</t>
  </si>
  <si>
    <t>(премия 50%)</t>
  </si>
  <si>
    <t>(Р.К. и С.Н.)</t>
  </si>
  <si>
    <t xml:space="preserve">Страховые взносы на оплату труда  </t>
  </si>
  <si>
    <t>Стоимость электроэнергии по нерегулируемому тарифу (без НДС)</t>
  </si>
  <si>
    <t>кВт/час</t>
  </si>
  <si>
    <t xml:space="preserve"> =</t>
  </si>
  <si>
    <t>Материалы для текущего ремонта, восстановления и уборки</t>
  </si>
  <si>
    <t>Наименование материалов</t>
  </si>
  <si>
    <t>ед. изм.</t>
  </si>
  <si>
    <t>кол-во</t>
  </si>
  <si>
    <t>стоим-ть ед., руб.</t>
  </si>
  <si>
    <t>Сумма, руб.</t>
  </si>
  <si>
    <t>Лампы люминисцентные дуговые ртутные HPL-N-250</t>
  </si>
  <si>
    <t>10 шт.</t>
  </si>
  <si>
    <t>Лампы люминисцентные дуговые ртутные HPL-N-125</t>
  </si>
  <si>
    <t>Лампы газоразрядные типа Son-H-220</t>
  </si>
  <si>
    <t>Лампы накаливания</t>
  </si>
  <si>
    <t>шт.</t>
  </si>
  <si>
    <t>Кабель силовой АВГГ4х16мм2 0,66кВ</t>
  </si>
  <si>
    <t>1000 м</t>
  </si>
  <si>
    <t>Изоляторы низковольтные</t>
  </si>
  <si>
    <t>Светильник  40-250-004</t>
  </si>
  <si>
    <t>Выключатели автоматические АЕ 2023 16А</t>
  </si>
  <si>
    <t>Плафон к светильнику</t>
  </si>
  <si>
    <t>Светильник  РТУ 23-125-001</t>
  </si>
  <si>
    <t>Предохранители тугоплавкие ПН-2</t>
  </si>
  <si>
    <t>Реле времени ВС-33-1 УХЛ4</t>
  </si>
  <si>
    <t>Фотореле ФР-7</t>
  </si>
  <si>
    <t>Счетчики электроэнергии однофазные СОИ-449 10-60А</t>
  </si>
  <si>
    <t>Счетчики электроэнергии трехфазные</t>
  </si>
  <si>
    <t>Сталь угловая 50х50мм</t>
  </si>
  <si>
    <t>т</t>
  </si>
  <si>
    <t>Трансформатор тока ТОП-066 100/5</t>
  </si>
  <si>
    <t>Болты с шестигранной головкой диаметром резьбы 10 мм</t>
  </si>
  <si>
    <t>кг</t>
  </si>
  <si>
    <t>Гайки шестигранные диаметр резьбы 12-14мм</t>
  </si>
  <si>
    <t>Штепсельные розетки</t>
  </si>
  <si>
    <t>Наконечники кабельные алюминевые</t>
  </si>
  <si>
    <t>Трубы стальные электросварные прямошовные наружный диаметр 40мм толщина стенки 3мм</t>
  </si>
  <si>
    <t>м</t>
  </si>
  <si>
    <t>Конструкции для крепления</t>
  </si>
  <si>
    <t>5.1</t>
  </si>
  <si>
    <t xml:space="preserve">УАЗ 39099- </t>
  </si>
  <si>
    <t>час.(в неделю)</t>
  </si>
  <si>
    <t>нед.</t>
  </si>
  <si>
    <t>5.2</t>
  </si>
  <si>
    <t>ЗИЛ 130 ВТ (ВС) 22 (автовышка)</t>
  </si>
  <si>
    <t>факт % 2011 года</t>
  </si>
  <si>
    <t>Общехозяйственные расходы 15% (без учета эл/энергии)</t>
  </si>
  <si>
    <t>Общепроизводственные расходы 11% (без учета эл/энергии)</t>
  </si>
  <si>
    <t>ЧАСТЬ IV. Обоснование формирования (начальной)максимальной цены контракта</t>
  </si>
  <si>
    <t>Нормативные документы: рекомендации по номированию труда работников, занятых содержанием и ремонтом ЖФ МКД 2-02.01 часть 1 утверждены Приказом Госстроя России от 09.12.99 г. № 139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</si>
</sst>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_-* #,##0.00[$€-1]_-;\-* #,##0.00[$€-1]_-;_-* \-??[$€-1]_-"/>
    <numFmt numFmtId="168" formatCode="&quot;$&quot;#,##0_);\(&quot;$&quot;#,##0\)"/>
  </numFmts>
  <fonts count="6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0"/>
    </font>
    <font>
      <sz val="11"/>
      <color indexed="12"/>
      <name val="Times New Roman Cyr"/>
      <family val="1"/>
    </font>
    <font>
      <sz val="8"/>
      <name val="Times New Roman Cyr"/>
      <family val="1"/>
    </font>
    <font>
      <sz val="9"/>
      <color indexed="12"/>
      <name val="Times New Roman Cyr"/>
      <family val="1"/>
    </font>
    <font>
      <sz val="9"/>
      <name val="Times New Roman Cyr"/>
      <family val="1"/>
    </font>
    <font>
      <sz val="10"/>
      <name val="Arial"/>
      <family val="2"/>
    </font>
    <font>
      <sz val="10"/>
      <name val="Courier New"/>
      <family val="3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sz val="7"/>
      <color indexed="8"/>
      <name val="Times New Roman"/>
      <family val="2"/>
    </font>
    <font>
      <sz val="5"/>
      <color indexed="8"/>
      <name val="Times New Roman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7"/>
      <color theme="1"/>
      <name val="Times New Roman"/>
      <family val="2"/>
    </font>
    <font>
      <sz val="5"/>
      <color theme="1"/>
      <name val="Times New Roman"/>
      <family val="2"/>
    </font>
    <font>
      <sz val="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7" fontId="11" fillId="0" borderId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56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3" fontId="5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65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166" fontId="58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 vertical="center"/>
    </xf>
    <xf numFmtId="166" fontId="58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3" fontId="6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" fontId="56" fillId="0" borderId="11" xfId="0" applyNumberFormat="1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5">
    <cellStyle name="Normal" xfId="0"/>
    <cellStyle name="_Сб-macro 202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1" xfId="55"/>
    <cellStyle name="Обычный 11 2" xfId="56"/>
    <cellStyle name="Обычный 2" xfId="57"/>
    <cellStyle name="Обычный 2 10" xfId="58"/>
    <cellStyle name="Обычный 2 10 2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&#1073;&#1083;&#1072;&#1075;&#1086;&#1091;&#1089;&#1090;&#1088;&#1086;&#1081;&#1089;&#1090;&#1074;&#1086;%200&#1055;&#1056;&#1054;&#1045;&#1050;&#1058;%20&#1086;&#1090;%20&#1057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С 2012 (на 5,2%)"/>
      <sheetName val="кладб."/>
      <sheetName val="пруд"/>
      <sheetName val="Новыйгод"/>
      <sheetName val="город."/>
      <sheetName val="жив."/>
      <sheetName val="ост."/>
      <sheetName val="фонт."/>
      <sheetName val="контей.площ."/>
      <sheetName val="памят."/>
      <sheetName val="переход"/>
      <sheetName val="пож.вод"/>
      <sheetName val="маф"/>
      <sheetName val="Озел."/>
      <sheetName val="Освещ."/>
      <sheetName val="роспис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G78"/>
  <sheetViews>
    <sheetView tabSelected="1" view="pageBreakPreview" zoomScaleSheetLayoutView="100" zoomScalePageLayoutView="0" workbookViewId="0" topLeftCell="A1">
      <selection activeCell="E11" sqref="E11:AW11"/>
    </sheetView>
  </sheetViews>
  <sheetFormatPr defaultColWidth="9.00390625" defaultRowHeight="15.75"/>
  <cols>
    <col min="1" max="99" width="0.875" style="10" customWidth="1"/>
    <col min="100" max="101" width="11.125" style="10" bestFit="1" customWidth="1"/>
    <col min="102" max="16384" width="9.00390625" style="10" customWidth="1"/>
  </cols>
  <sheetData>
    <row r="1" spans="2:111" ht="15.75">
      <c r="B1" s="46" t="s">
        <v>94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</row>
    <row r="2" spans="2:111" ht="40.5" customHeight="1">
      <c r="B2" s="110" t="s">
        <v>95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</row>
    <row r="3" spans="1:99" s="1" customFormat="1" ht="18.7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4" spans="1:99" s="1" customFormat="1" ht="18.7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</row>
    <row r="5" spans="1:99" s="1" customFormat="1" ht="18.75" customHeight="1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</row>
    <row r="6" spans="87:99" s="2" customFormat="1" ht="15.75">
      <c r="CI6" s="109" t="s">
        <v>3</v>
      </c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</row>
    <row r="7" spans="1:99" s="3" customFormat="1" ht="12.75" customHeight="1">
      <c r="A7" s="102" t="s">
        <v>4</v>
      </c>
      <c r="B7" s="102"/>
      <c r="C7" s="102"/>
      <c r="D7" s="102"/>
      <c r="E7" s="103" t="s">
        <v>5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5"/>
      <c r="AX7" s="103" t="s">
        <v>6</v>
      </c>
      <c r="AY7" s="104"/>
      <c r="AZ7" s="104"/>
      <c r="BA7" s="104"/>
      <c r="BB7" s="104"/>
      <c r="BC7" s="104"/>
      <c r="BD7" s="104"/>
      <c r="BE7" s="104"/>
      <c r="BF7" s="104"/>
      <c r="BG7" s="105"/>
      <c r="BH7" s="102" t="s">
        <v>7</v>
      </c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</row>
    <row r="8" spans="1:99" s="3" customFormat="1" ht="12.75">
      <c r="A8" s="102"/>
      <c r="B8" s="102"/>
      <c r="C8" s="102"/>
      <c r="D8" s="102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8"/>
      <c r="AX8" s="106"/>
      <c r="AY8" s="107"/>
      <c r="AZ8" s="107"/>
      <c r="BA8" s="107"/>
      <c r="BB8" s="107"/>
      <c r="BC8" s="107"/>
      <c r="BD8" s="107"/>
      <c r="BE8" s="107"/>
      <c r="BF8" s="107"/>
      <c r="BG8" s="108"/>
      <c r="BH8" s="102" t="s">
        <v>8</v>
      </c>
      <c r="BI8" s="102"/>
      <c r="BJ8" s="102"/>
      <c r="BK8" s="102"/>
      <c r="BL8" s="102"/>
      <c r="BM8" s="102"/>
      <c r="BN8" s="102"/>
      <c r="BO8" s="102"/>
      <c r="BP8" s="102"/>
      <c r="BQ8" s="102"/>
      <c r="BR8" s="102" t="s">
        <v>9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 t="s">
        <v>10</v>
      </c>
      <c r="CC8" s="102"/>
      <c r="CD8" s="102"/>
      <c r="CE8" s="102"/>
      <c r="CF8" s="102"/>
      <c r="CG8" s="102"/>
      <c r="CH8" s="102"/>
      <c r="CI8" s="102"/>
      <c r="CJ8" s="102"/>
      <c r="CK8" s="102"/>
      <c r="CL8" s="102" t="s">
        <v>11</v>
      </c>
      <c r="CM8" s="102"/>
      <c r="CN8" s="102"/>
      <c r="CO8" s="102"/>
      <c r="CP8" s="102"/>
      <c r="CQ8" s="102"/>
      <c r="CR8" s="102"/>
      <c r="CS8" s="102"/>
      <c r="CT8" s="102"/>
      <c r="CU8" s="102"/>
    </row>
    <row r="9" spans="1:101" s="2" customFormat="1" ht="30" customHeight="1">
      <c r="A9" s="86">
        <v>1</v>
      </c>
      <c r="B9" s="86"/>
      <c r="C9" s="86"/>
      <c r="D9" s="86"/>
      <c r="E9" s="87" t="s">
        <v>12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9"/>
      <c r="AX9" s="90">
        <f>Y29/1000</f>
        <v>1195.61792625</v>
      </c>
      <c r="AY9" s="91"/>
      <c r="AZ9" s="91"/>
      <c r="BA9" s="91"/>
      <c r="BB9" s="91"/>
      <c r="BC9" s="91"/>
      <c r="BD9" s="91"/>
      <c r="BE9" s="91"/>
      <c r="BF9" s="91"/>
      <c r="BG9" s="92"/>
      <c r="BH9" s="93">
        <f>AX9*24.99%</f>
        <v>298.784919769875</v>
      </c>
      <c r="BI9" s="93"/>
      <c r="BJ9" s="93"/>
      <c r="BK9" s="93"/>
      <c r="BL9" s="93"/>
      <c r="BM9" s="93"/>
      <c r="BN9" s="93"/>
      <c r="BO9" s="93"/>
      <c r="BP9" s="93"/>
      <c r="BQ9" s="93"/>
      <c r="BR9" s="93">
        <f>AX9*20.35%</f>
        <v>243.30824799187502</v>
      </c>
      <c r="BS9" s="93"/>
      <c r="BT9" s="93"/>
      <c r="BU9" s="93"/>
      <c r="BV9" s="93"/>
      <c r="BW9" s="93"/>
      <c r="BX9" s="93"/>
      <c r="BY9" s="93"/>
      <c r="BZ9" s="93"/>
      <c r="CA9" s="93"/>
      <c r="CB9" s="93">
        <f>AX9*14.12%</f>
        <v>168.82125118649998</v>
      </c>
      <c r="CC9" s="93"/>
      <c r="CD9" s="93"/>
      <c r="CE9" s="93"/>
      <c r="CF9" s="93"/>
      <c r="CG9" s="93"/>
      <c r="CH9" s="93"/>
      <c r="CI9" s="93"/>
      <c r="CJ9" s="93"/>
      <c r="CK9" s="93"/>
      <c r="CL9" s="93">
        <f>AX9*40.54%</f>
        <v>484.70350730175</v>
      </c>
      <c r="CM9" s="93"/>
      <c r="CN9" s="93"/>
      <c r="CO9" s="93"/>
      <c r="CP9" s="93"/>
      <c r="CQ9" s="93"/>
      <c r="CR9" s="93"/>
      <c r="CS9" s="93"/>
      <c r="CT9" s="93"/>
      <c r="CU9" s="93"/>
      <c r="CV9" s="4"/>
      <c r="CW9" s="5"/>
    </row>
    <row r="10" spans="1:101" s="2" customFormat="1" ht="30" customHeight="1">
      <c r="A10" s="86">
        <v>2</v>
      </c>
      <c r="B10" s="86"/>
      <c r="C10" s="86"/>
      <c r="D10" s="86"/>
      <c r="E10" s="87" t="s">
        <v>13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0">
        <f>AW38/1000</f>
        <v>309.66504289875</v>
      </c>
      <c r="AY10" s="91"/>
      <c r="AZ10" s="91"/>
      <c r="BA10" s="91"/>
      <c r="BB10" s="91"/>
      <c r="BC10" s="91"/>
      <c r="BD10" s="91"/>
      <c r="BE10" s="91"/>
      <c r="BF10" s="91"/>
      <c r="BG10" s="92"/>
      <c r="BH10" s="93">
        <f>AX10*24.99%</f>
        <v>77.38529422039763</v>
      </c>
      <c r="BI10" s="93"/>
      <c r="BJ10" s="93"/>
      <c r="BK10" s="93"/>
      <c r="BL10" s="93"/>
      <c r="BM10" s="93"/>
      <c r="BN10" s="93"/>
      <c r="BO10" s="93"/>
      <c r="BP10" s="93"/>
      <c r="BQ10" s="93"/>
      <c r="BR10" s="93">
        <f>AX10*20.35%</f>
        <v>63.01683622989563</v>
      </c>
      <c r="BS10" s="93"/>
      <c r="BT10" s="93"/>
      <c r="BU10" s="93"/>
      <c r="BV10" s="93"/>
      <c r="BW10" s="93"/>
      <c r="BX10" s="93"/>
      <c r="BY10" s="93"/>
      <c r="BZ10" s="93"/>
      <c r="CA10" s="93"/>
      <c r="CB10" s="93">
        <f>AX10*14.12%</f>
        <v>43.7247040573035</v>
      </c>
      <c r="CC10" s="93"/>
      <c r="CD10" s="93"/>
      <c r="CE10" s="93"/>
      <c r="CF10" s="93"/>
      <c r="CG10" s="93"/>
      <c r="CH10" s="93"/>
      <c r="CI10" s="93"/>
      <c r="CJ10" s="93"/>
      <c r="CK10" s="93"/>
      <c r="CL10" s="93">
        <f>AX10*40.54%</f>
        <v>125.53820839115325</v>
      </c>
      <c r="CM10" s="93"/>
      <c r="CN10" s="93"/>
      <c r="CO10" s="93"/>
      <c r="CP10" s="93"/>
      <c r="CQ10" s="93"/>
      <c r="CR10" s="93"/>
      <c r="CS10" s="93"/>
      <c r="CT10" s="93"/>
      <c r="CU10" s="93"/>
      <c r="CV10" s="4"/>
      <c r="CW10" s="5"/>
    </row>
    <row r="11" spans="1:101" s="2" customFormat="1" ht="30" customHeight="1">
      <c r="A11" s="86">
        <v>3</v>
      </c>
      <c r="B11" s="86"/>
      <c r="C11" s="86"/>
      <c r="D11" s="86"/>
      <c r="E11" s="87" t="s">
        <v>14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9"/>
      <c r="AX11" s="90">
        <f>BO43/1000</f>
        <v>650.1863389255001</v>
      </c>
      <c r="AY11" s="91"/>
      <c r="AZ11" s="91"/>
      <c r="BA11" s="91"/>
      <c r="BB11" s="91"/>
      <c r="BC11" s="91"/>
      <c r="BD11" s="91"/>
      <c r="BE11" s="91"/>
      <c r="BF11" s="91"/>
      <c r="BG11" s="92"/>
      <c r="BH11" s="93">
        <f>AX11*24.99%</f>
        <v>162.48156609748247</v>
      </c>
      <c r="BI11" s="93"/>
      <c r="BJ11" s="93"/>
      <c r="BK11" s="93"/>
      <c r="BL11" s="93"/>
      <c r="BM11" s="93"/>
      <c r="BN11" s="93"/>
      <c r="BO11" s="93"/>
      <c r="BP11" s="93"/>
      <c r="BQ11" s="93"/>
      <c r="BR11" s="93">
        <f>AX11*20.35%</f>
        <v>132.31291997133928</v>
      </c>
      <c r="BS11" s="93"/>
      <c r="BT11" s="93"/>
      <c r="BU11" s="93"/>
      <c r="BV11" s="93"/>
      <c r="BW11" s="93"/>
      <c r="BX11" s="93"/>
      <c r="BY11" s="93"/>
      <c r="BZ11" s="93"/>
      <c r="CA11" s="93"/>
      <c r="CB11" s="93">
        <f>AX11*14.12%</f>
        <v>91.8063110562806</v>
      </c>
      <c r="CC11" s="93"/>
      <c r="CD11" s="93"/>
      <c r="CE11" s="93"/>
      <c r="CF11" s="93"/>
      <c r="CG11" s="93"/>
      <c r="CH11" s="93"/>
      <c r="CI11" s="93"/>
      <c r="CJ11" s="93"/>
      <c r="CK11" s="93"/>
      <c r="CL11" s="93">
        <f>AX11*40.54%</f>
        <v>263.5855418003977</v>
      </c>
      <c r="CM11" s="93"/>
      <c r="CN11" s="93"/>
      <c r="CO11" s="93"/>
      <c r="CP11" s="93"/>
      <c r="CQ11" s="93"/>
      <c r="CR11" s="93"/>
      <c r="CS11" s="93"/>
      <c r="CT11" s="93"/>
      <c r="CU11" s="93"/>
      <c r="CV11" s="4"/>
      <c r="CW11" s="5"/>
    </row>
    <row r="12" spans="1:101" s="2" customFormat="1" ht="30" customHeight="1">
      <c r="A12" s="86">
        <v>4</v>
      </c>
      <c r="B12" s="86"/>
      <c r="C12" s="86"/>
      <c r="D12" s="86"/>
      <c r="E12" s="87" t="s">
        <v>15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9"/>
      <c r="AX12" s="90">
        <f>AE69/1000</f>
        <v>858</v>
      </c>
      <c r="AY12" s="91"/>
      <c r="AZ12" s="91"/>
      <c r="BA12" s="91"/>
      <c r="BB12" s="91"/>
      <c r="BC12" s="91"/>
      <c r="BD12" s="91"/>
      <c r="BE12" s="91"/>
      <c r="BF12" s="91"/>
      <c r="BG12" s="92"/>
      <c r="BH12" s="93">
        <f>AX12*24.99%+1</f>
        <v>215.4142</v>
      </c>
      <c r="BI12" s="93"/>
      <c r="BJ12" s="93"/>
      <c r="BK12" s="93"/>
      <c r="BL12" s="93"/>
      <c r="BM12" s="93"/>
      <c r="BN12" s="93"/>
      <c r="BO12" s="93"/>
      <c r="BP12" s="93"/>
      <c r="BQ12" s="93"/>
      <c r="BR12" s="93">
        <f>AX12*20.35%</f>
        <v>174.603</v>
      </c>
      <c r="BS12" s="93"/>
      <c r="BT12" s="93"/>
      <c r="BU12" s="93"/>
      <c r="BV12" s="93"/>
      <c r="BW12" s="93"/>
      <c r="BX12" s="93"/>
      <c r="BY12" s="93"/>
      <c r="BZ12" s="93"/>
      <c r="CA12" s="93"/>
      <c r="CB12" s="93">
        <f>AX12*14.12%</f>
        <v>121.14959999999999</v>
      </c>
      <c r="CC12" s="93"/>
      <c r="CD12" s="93"/>
      <c r="CE12" s="93"/>
      <c r="CF12" s="93"/>
      <c r="CG12" s="93"/>
      <c r="CH12" s="93"/>
      <c r="CI12" s="93"/>
      <c r="CJ12" s="93"/>
      <c r="CK12" s="93"/>
      <c r="CL12" s="93">
        <f>AX12*40.54%</f>
        <v>347.8332</v>
      </c>
      <c r="CM12" s="93"/>
      <c r="CN12" s="93"/>
      <c r="CO12" s="93"/>
      <c r="CP12" s="93"/>
      <c r="CQ12" s="93"/>
      <c r="CR12" s="93"/>
      <c r="CS12" s="93"/>
      <c r="CT12" s="93"/>
      <c r="CU12" s="93"/>
      <c r="CV12" s="4"/>
      <c r="CW12" s="5"/>
    </row>
    <row r="13" spans="1:101" s="2" customFormat="1" ht="30" customHeight="1">
      <c r="A13" s="86">
        <v>5</v>
      </c>
      <c r="B13" s="86"/>
      <c r="C13" s="86"/>
      <c r="D13" s="86"/>
      <c r="E13" s="101" t="s">
        <v>16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9"/>
      <c r="AX13" s="90"/>
      <c r="AY13" s="91"/>
      <c r="AZ13" s="91"/>
      <c r="BA13" s="91"/>
      <c r="BB13" s="91"/>
      <c r="BC13" s="91"/>
      <c r="BD13" s="91"/>
      <c r="BE13" s="91"/>
      <c r="BF13" s="91"/>
      <c r="BG13" s="92"/>
      <c r="BH13" s="93">
        <f>AX13*24.99%</f>
        <v>0</v>
      </c>
      <c r="BI13" s="93"/>
      <c r="BJ13" s="93"/>
      <c r="BK13" s="93"/>
      <c r="BL13" s="93"/>
      <c r="BM13" s="93"/>
      <c r="BN13" s="93"/>
      <c r="BO13" s="93"/>
      <c r="BP13" s="93"/>
      <c r="BQ13" s="93"/>
      <c r="BR13" s="93">
        <f>AX13*20.35%</f>
        <v>0</v>
      </c>
      <c r="BS13" s="93"/>
      <c r="BT13" s="93"/>
      <c r="BU13" s="93"/>
      <c r="BV13" s="93"/>
      <c r="BW13" s="93"/>
      <c r="BX13" s="93"/>
      <c r="BY13" s="93"/>
      <c r="BZ13" s="93"/>
      <c r="CA13" s="93"/>
      <c r="CB13" s="93">
        <f>AX13*14.12%</f>
        <v>0</v>
      </c>
      <c r="CC13" s="93"/>
      <c r="CD13" s="93"/>
      <c r="CE13" s="93"/>
      <c r="CF13" s="93"/>
      <c r="CG13" s="93"/>
      <c r="CH13" s="93"/>
      <c r="CI13" s="93"/>
      <c r="CJ13" s="93"/>
      <c r="CK13" s="93"/>
      <c r="CL13" s="93">
        <f>AX13*40.54%</f>
        <v>0</v>
      </c>
      <c r="CM13" s="93"/>
      <c r="CN13" s="93"/>
      <c r="CO13" s="93"/>
      <c r="CP13" s="93"/>
      <c r="CQ13" s="93"/>
      <c r="CR13" s="93"/>
      <c r="CS13" s="93"/>
      <c r="CT13" s="93"/>
      <c r="CU13" s="93"/>
      <c r="CV13" s="4"/>
      <c r="CW13" s="5"/>
    </row>
    <row r="14" spans="1:101" s="1" customFormat="1" ht="30" customHeight="1">
      <c r="A14" s="82"/>
      <c r="B14" s="82"/>
      <c r="C14" s="82"/>
      <c r="D14" s="82"/>
      <c r="E14" s="83" t="s">
        <v>17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5"/>
      <c r="AX14" s="78">
        <f>SUM(AX9:BG13)</f>
        <v>3013.46930807425</v>
      </c>
      <c r="AY14" s="79"/>
      <c r="AZ14" s="79"/>
      <c r="BA14" s="79"/>
      <c r="BB14" s="79"/>
      <c r="BC14" s="79"/>
      <c r="BD14" s="79"/>
      <c r="BE14" s="79"/>
      <c r="BF14" s="79"/>
      <c r="BG14" s="80"/>
      <c r="BH14" s="78">
        <f>SUM(BH9:BQ13)</f>
        <v>754.065980087755</v>
      </c>
      <c r="BI14" s="79"/>
      <c r="BJ14" s="79"/>
      <c r="BK14" s="79"/>
      <c r="BL14" s="79"/>
      <c r="BM14" s="79"/>
      <c r="BN14" s="79"/>
      <c r="BO14" s="79"/>
      <c r="BP14" s="79"/>
      <c r="BQ14" s="80"/>
      <c r="BR14" s="78">
        <f>SUM(BR9:CA13)</f>
        <v>613.24100419311</v>
      </c>
      <c r="BS14" s="79"/>
      <c r="BT14" s="79"/>
      <c r="BU14" s="79"/>
      <c r="BV14" s="79"/>
      <c r="BW14" s="79"/>
      <c r="BX14" s="79"/>
      <c r="BY14" s="79"/>
      <c r="BZ14" s="79"/>
      <c r="CA14" s="80"/>
      <c r="CB14" s="78">
        <f>SUM(CB9:CK13)</f>
        <v>425.5018663000841</v>
      </c>
      <c r="CC14" s="79"/>
      <c r="CD14" s="79"/>
      <c r="CE14" s="79"/>
      <c r="CF14" s="79"/>
      <c r="CG14" s="79"/>
      <c r="CH14" s="79"/>
      <c r="CI14" s="79"/>
      <c r="CJ14" s="79"/>
      <c r="CK14" s="80"/>
      <c r="CL14" s="78">
        <f>SUM(CL9:CU13)</f>
        <v>1221.660457493301</v>
      </c>
      <c r="CM14" s="79"/>
      <c r="CN14" s="79"/>
      <c r="CO14" s="79"/>
      <c r="CP14" s="79"/>
      <c r="CQ14" s="79"/>
      <c r="CR14" s="79"/>
      <c r="CS14" s="79"/>
      <c r="CT14" s="79"/>
      <c r="CU14" s="80"/>
      <c r="CV14" s="4"/>
      <c r="CW14" s="5"/>
    </row>
    <row r="15" spans="1:101" s="1" customFormat="1" ht="30" customHeight="1">
      <c r="A15" s="86">
        <v>6</v>
      </c>
      <c r="B15" s="86">
        <v>5</v>
      </c>
      <c r="C15" s="86"/>
      <c r="D15" s="86"/>
      <c r="E15" s="101" t="s">
        <v>93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9"/>
      <c r="AX15" s="90">
        <f>SUM(AX9:BG12)*11%</f>
        <v>331.4816238881675</v>
      </c>
      <c r="AY15" s="91"/>
      <c r="AZ15" s="91"/>
      <c r="BA15" s="91"/>
      <c r="BB15" s="91"/>
      <c r="BC15" s="91"/>
      <c r="BD15" s="91"/>
      <c r="BE15" s="91"/>
      <c r="BF15" s="91"/>
      <c r="BG15" s="92"/>
      <c r="BH15" s="93">
        <f>AX15*24.99%+1</f>
        <v>83.83725780965305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>
        <f>AX15*20.35%</f>
        <v>67.45651046124209</v>
      </c>
      <c r="BS15" s="93"/>
      <c r="BT15" s="93"/>
      <c r="BU15" s="93"/>
      <c r="BV15" s="93"/>
      <c r="BW15" s="93"/>
      <c r="BX15" s="93"/>
      <c r="BY15" s="93"/>
      <c r="BZ15" s="93"/>
      <c r="CA15" s="93"/>
      <c r="CB15" s="93">
        <f>AX15*14.12%+1</f>
        <v>47.80520529300925</v>
      </c>
      <c r="CC15" s="93"/>
      <c r="CD15" s="93"/>
      <c r="CE15" s="93"/>
      <c r="CF15" s="93"/>
      <c r="CG15" s="93"/>
      <c r="CH15" s="93"/>
      <c r="CI15" s="93"/>
      <c r="CJ15" s="93"/>
      <c r="CK15" s="93"/>
      <c r="CL15" s="93">
        <f>AX15*40.54%-1</f>
        <v>133.3826503242631</v>
      </c>
      <c r="CM15" s="93"/>
      <c r="CN15" s="93"/>
      <c r="CO15" s="93"/>
      <c r="CP15" s="93"/>
      <c r="CQ15" s="93"/>
      <c r="CR15" s="93"/>
      <c r="CS15" s="93"/>
      <c r="CT15" s="93"/>
      <c r="CU15" s="93"/>
      <c r="CV15" s="4"/>
      <c r="CW15" s="5"/>
    </row>
    <row r="16" spans="1:101" s="2" customFormat="1" ht="30" customHeight="1">
      <c r="A16" s="86">
        <v>7</v>
      </c>
      <c r="B16" s="86">
        <v>5</v>
      </c>
      <c r="C16" s="86"/>
      <c r="D16" s="86"/>
      <c r="E16" s="101" t="s">
        <v>92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9"/>
      <c r="AX16" s="90">
        <f>AX14*15%</f>
        <v>452.0203962111375</v>
      </c>
      <c r="AY16" s="91"/>
      <c r="AZ16" s="91"/>
      <c r="BA16" s="91"/>
      <c r="BB16" s="91"/>
      <c r="BC16" s="91"/>
      <c r="BD16" s="91"/>
      <c r="BE16" s="91"/>
      <c r="BF16" s="91"/>
      <c r="BG16" s="92"/>
      <c r="BH16" s="93">
        <f>AX16*24.99%+1</f>
        <v>113.95989701316326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>
        <f>AX16*20.35%</f>
        <v>91.98615062896648</v>
      </c>
      <c r="BS16" s="93"/>
      <c r="BT16" s="93"/>
      <c r="BU16" s="93"/>
      <c r="BV16" s="93"/>
      <c r="BW16" s="93"/>
      <c r="BX16" s="93"/>
      <c r="BY16" s="93"/>
      <c r="BZ16" s="93"/>
      <c r="CA16" s="93"/>
      <c r="CB16" s="93">
        <f>AX16*14.12%</f>
        <v>63.82527994501261</v>
      </c>
      <c r="CC16" s="93"/>
      <c r="CD16" s="93"/>
      <c r="CE16" s="93"/>
      <c r="CF16" s="93"/>
      <c r="CG16" s="93"/>
      <c r="CH16" s="93"/>
      <c r="CI16" s="93"/>
      <c r="CJ16" s="93"/>
      <c r="CK16" s="93"/>
      <c r="CL16" s="93">
        <f>AX16*40.54%</f>
        <v>183.24906862399513</v>
      </c>
      <c r="CM16" s="93"/>
      <c r="CN16" s="93"/>
      <c r="CO16" s="93"/>
      <c r="CP16" s="93"/>
      <c r="CQ16" s="93"/>
      <c r="CR16" s="93"/>
      <c r="CS16" s="93"/>
      <c r="CT16" s="93"/>
      <c r="CU16" s="93"/>
      <c r="CV16" s="4"/>
      <c r="CW16" s="5"/>
    </row>
    <row r="17" spans="1:101" s="2" customFormat="1" ht="23.25" customHeight="1">
      <c r="A17" s="86">
        <v>8</v>
      </c>
      <c r="B17" s="86">
        <v>6</v>
      </c>
      <c r="C17" s="86"/>
      <c r="D17" s="86"/>
      <c r="E17" s="101" t="s">
        <v>18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9"/>
      <c r="AX17" s="90"/>
      <c r="AY17" s="91"/>
      <c r="AZ17" s="91"/>
      <c r="BA17" s="91"/>
      <c r="BB17" s="91"/>
      <c r="BC17" s="91"/>
      <c r="BD17" s="91"/>
      <c r="BE17" s="91"/>
      <c r="BF17" s="91"/>
      <c r="BG17" s="92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4"/>
      <c r="CW17" s="5"/>
    </row>
    <row r="18" spans="1:101" s="1" customFormat="1" ht="30" customHeight="1">
      <c r="A18" s="82"/>
      <c r="B18" s="82"/>
      <c r="C18" s="82"/>
      <c r="D18" s="82"/>
      <c r="E18" s="83" t="s">
        <v>19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  <c r="AX18" s="78">
        <f>SUM(AX14:BG17)</f>
        <v>3796.971328173555</v>
      </c>
      <c r="AY18" s="79"/>
      <c r="AZ18" s="79"/>
      <c r="BA18" s="79"/>
      <c r="BB18" s="79"/>
      <c r="BC18" s="79"/>
      <c r="BD18" s="79"/>
      <c r="BE18" s="79"/>
      <c r="BF18" s="79"/>
      <c r="BG18" s="80"/>
      <c r="BH18" s="78">
        <f>SUM(BH14:BQ17)</f>
        <v>951.8631349105713</v>
      </c>
      <c r="BI18" s="79"/>
      <c r="BJ18" s="79"/>
      <c r="BK18" s="79"/>
      <c r="BL18" s="79"/>
      <c r="BM18" s="79"/>
      <c r="BN18" s="79"/>
      <c r="BO18" s="79"/>
      <c r="BP18" s="79"/>
      <c r="BQ18" s="80"/>
      <c r="BR18" s="78">
        <f>SUM(BR14:CA17)</f>
        <v>772.6836652833185</v>
      </c>
      <c r="BS18" s="79"/>
      <c r="BT18" s="79"/>
      <c r="BU18" s="79"/>
      <c r="BV18" s="79"/>
      <c r="BW18" s="79"/>
      <c r="BX18" s="79"/>
      <c r="BY18" s="79"/>
      <c r="BZ18" s="79"/>
      <c r="CA18" s="80"/>
      <c r="CB18" s="78">
        <f>SUM(CB14:CK17)</f>
        <v>537.1323515381059</v>
      </c>
      <c r="CC18" s="79"/>
      <c r="CD18" s="79"/>
      <c r="CE18" s="79"/>
      <c r="CF18" s="79"/>
      <c r="CG18" s="79"/>
      <c r="CH18" s="79"/>
      <c r="CI18" s="79"/>
      <c r="CJ18" s="79"/>
      <c r="CK18" s="80"/>
      <c r="CL18" s="78">
        <f>SUM(CL14:CU17)</f>
        <v>1538.2921764415591</v>
      </c>
      <c r="CM18" s="79"/>
      <c r="CN18" s="79"/>
      <c r="CO18" s="79"/>
      <c r="CP18" s="79"/>
      <c r="CQ18" s="79"/>
      <c r="CR18" s="79"/>
      <c r="CS18" s="79"/>
      <c r="CT18" s="79"/>
      <c r="CU18" s="80"/>
      <c r="CV18" s="4"/>
      <c r="CW18" s="5"/>
    </row>
    <row r="19" spans="1:101" s="6" customFormat="1" ht="30" customHeight="1">
      <c r="A19" s="94">
        <v>9</v>
      </c>
      <c r="B19" s="94">
        <v>7</v>
      </c>
      <c r="C19" s="94"/>
      <c r="D19" s="94"/>
      <c r="E19" s="95" t="s">
        <v>20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7"/>
      <c r="AX19" s="98">
        <f>AX18*18%</f>
        <v>683.4548390712398</v>
      </c>
      <c r="AY19" s="99"/>
      <c r="AZ19" s="99"/>
      <c r="BA19" s="99"/>
      <c r="BB19" s="99"/>
      <c r="BC19" s="99"/>
      <c r="BD19" s="99"/>
      <c r="BE19" s="99"/>
      <c r="BF19" s="99"/>
      <c r="BG19" s="100"/>
      <c r="BH19" s="93">
        <f>AX19*24.99%-2</f>
        <v>168.7953642839028</v>
      </c>
      <c r="BI19" s="93"/>
      <c r="BJ19" s="93"/>
      <c r="BK19" s="93"/>
      <c r="BL19" s="93"/>
      <c r="BM19" s="93"/>
      <c r="BN19" s="93"/>
      <c r="BO19" s="93"/>
      <c r="BP19" s="93"/>
      <c r="BQ19" s="93"/>
      <c r="BR19" s="93">
        <f>AX19*20.35%</f>
        <v>139.0830597509973</v>
      </c>
      <c r="BS19" s="93"/>
      <c r="BT19" s="93"/>
      <c r="BU19" s="93"/>
      <c r="BV19" s="93"/>
      <c r="BW19" s="93"/>
      <c r="BX19" s="93"/>
      <c r="BY19" s="93"/>
      <c r="BZ19" s="93"/>
      <c r="CA19" s="93"/>
      <c r="CB19" s="93">
        <f>AX19*14.12%</f>
        <v>96.50382327685905</v>
      </c>
      <c r="CC19" s="93"/>
      <c r="CD19" s="93"/>
      <c r="CE19" s="93"/>
      <c r="CF19" s="93"/>
      <c r="CG19" s="93"/>
      <c r="CH19" s="93"/>
      <c r="CI19" s="93"/>
      <c r="CJ19" s="93"/>
      <c r="CK19" s="93"/>
      <c r="CL19" s="93">
        <f>AX19*40.54%+1</f>
        <v>278.0725917594806</v>
      </c>
      <c r="CM19" s="93"/>
      <c r="CN19" s="93"/>
      <c r="CO19" s="93"/>
      <c r="CP19" s="93"/>
      <c r="CQ19" s="93"/>
      <c r="CR19" s="93"/>
      <c r="CS19" s="93"/>
      <c r="CT19" s="93"/>
      <c r="CU19" s="93"/>
      <c r="CV19" s="4"/>
      <c r="CW19" s="5"/>
    </row>
    <row r="20" spans="1:101" s="1" customFormat="1" ht="30" customHeight="1">
      <c r="A20" s="82"/>
      <c r="B20" s="82"/>
      <c r="C20" s="82"/>
      <c r="D20" s="82"/>
      <c r="E20" s="83" t="s">
        <v>21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5"/>
      <c r="AX20" s="78">
        <f>AX18+AX19</f>
        <v>4480.426167244795</v>
      </c>
      <c r="AY20" s="79"/>
      <c r="AZ20" s="79"/>
      <c r="BA20" s="79"/>
      <c r="BB20" s="79"/>
      <c r="BC20" s="79"/>
      <c r="BD20" s="79"/>
      <c r="BE20" s="79"/>
      <c r="BF20" s="79"/>
      <c r="BG20" s="80"/>
      <c r="BH20" s="78">
        <f>BH18+BH19</f>
        <v>1120.6584991944742</v>
      </c>
      <c r="BI20" s="79"/>
      <c r="BJ20" s="79"/>
      <c r="BK20" s="79"/>
      <c r="BL20" s="79"/>
      <c r="BM20" s="79"/>
      <c r="BN20" s="79"/>
      <c r="BO20" s="79"/>
      <c r="BP20" s="79"/>
      <c r="BQ20" s="80"/>
      <c r="BR20" s="78">
        <f>BR18+BR19</f>
        <v>911.7667250343159</v>
      </c>
      <c r="BS20" s="79"/>
      <c r="BT20" s="79"/>
      <c r="BU20" s="79"/>
      <c r="BV20" s="79"/>
      <c r="BW20" s="79"/>
      <c r="BX20" s="79"/>
      <c r="BY20" s="79"/>
      <c r="BZ20" s="79"/>
      <c r="CA20" s="80"/>
      <c r="CB20" s="78">
        <f>CB18+CB19</f>
        <v>633.636174814965</v>
      </c>
      <c r="CC20" s="79"/>
      <c r="CD20" s="79"/>
      <c r="CE20" s="79"/>
      <c r="CF20" s="79"/>
      <c r="CG20" s="79"/>
      <c r="CH20" s="79"/>
      <c r="CI20" s="79"/>
      <c r="CJ20" s="79"/>
      <c r="CK20" s="80"/>
      <c r="CL20" s="78">
        <f>CL18+CL19</f>
        <v>1816.3647682010396</v>
      </c>
      <c r="CM20" s="79"/>
      <c r="CN20" s="79"/>
      <c r="CO20" s="79"/>
      <c r="CP20" s="79"/>
      <c r="CQ20" s="79"/>
      <c r="CR20" s="79"/>
      <c r="CS20" s="79"/>
      <c r="CT20" s="79"/>
      <c r="CU20" s="80"/>
      <c r="CV20" s="4"/>
      <c r="CW20" s="5"/>
    </row>
    <row r="21" spans="1:101" s="2" customFormat="1" ht="30" customHeight="1">
      <c r="A21" s="86">
        <v>10</v>
      </c>
      <c r="B21" s="86">
        <v>8</v>
      </c>
      <c r="C21" s="86"/>
      <c r="D21" s="86"/>
      <c r="E21" s="87" t="s">
        <v>22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9"/>
      <c r="AX21" s="90">
        <f>AX20*6.5%</f>
        <v>291.2277008709117</v>
      </c>
      <c r="AY21" s="91"/>
      <c r="AZ21" s="91"/>
      <c r="BA21" s="91"/>
      <c r="BB21" s="91"/>
      <c r="BC21" s="91"/>
      <c r="BD21" s="91"/>
      <c r="BE21" s="91"/>
      <c r="BF21" s="91"/>
      <c r="BG21" s="92"/>
      <c r="BH21" s="93">
        <f>AX21*24.99%+1</f>
        <v>73.77780244764082</v>
      </c>
      <c r="BI21" s="93"/>
      <c r="BJ21" s="93"/>
      <c r="BK21" s="93"/>
      <c r="BL21" s="93"/>
      <c r="BM21" s="93"/>
      <c r="BN21" s="93"/>
      <c r="BO21" s="93"/>
      <c r="BP21" s="93"/>
      <c r="BQ21" s="93"/>
      <c r="BR21" s="93">
        <f>AX21*20.35%</f>
        <v>59.264837127230535</v>
      </c>
      <c r="BS21" s="93"/>
      <c r="BT21" s="93"/>
      <c r="BU21" s="93"/>
      <c r="BV21" s="93"/>
      <c r="BW21" s="93"/>
      <c r="BX21" s="93"/>
      <c r="BY21" s="93"/>
      <c r="BZ21" s="93"/>
      <c r="CA21" s="93"/>
      <c r="CB21" s="93">
        <f>AX21*14.12%</f>
        <v>41.12135136297273</v>
      </c>
      <c r="CC21" s="93"/>
      <c r="CD21" s="93"/>
      <c r="CE21" s="93"/>
      <c r="CF21" s="93"/>
      <c r="CG21" s="93"/>
      <c r="CH21" s="93"/>
      <c r="CI21" s="93"/>
      <c r="CJ21" s="93"/>
      <c r="CK21" s="93"/>
      <c r="CL21" s="93">
        <f>AX21*40.54%</f>
        <v>118.0637099330676</v>
      </c>
      <c r="CM21" s="93"/>
      <c r="CN21" s="93"/>
      <c r="CO21" s="93"/>
      <c r="CP21" s="93"/>
      <c r="CQ21" s="93"/>
      <c r="CR21" s="93"/>
      <c r="CS21" s="93"/>
      <c r="CT21" s="93"/>
      <c r="CU21" s="93"/>
      <c r="CV21" s="4"/>
      <c r="CW21" s="5"/>
    </row>
    <row r="22" spans="1:101" s="1" customFormat="1" ht="30" customHeight="1">
      <c r="A22" s="82"/>
      <c r="B22" s="82"/>
      <c r="C22" s="82"/>
      <c r="D22" s="82"/>
      <c r="E22" s="83" t="s">
        <v>23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5"/>
      <c r="AX22" s="78">
        <f>SUM(AX20:BG21)</f>
        <v>4771.653868115706</v>
      </c>
      <c r="AY22" s="79"/>
      <c r="AZ22" s="79"/>
      <c r="BA22" s="79"/>
      <c r="BB22" s="79"/>
      <c r="BC22" s="79"/>
      <c r="BD22" s="79"/>
      <c r="BE22" s="79"/>
      <c r="BF22" s="79"/>
      <c r="BG22" s="80"/>
      <c r="BH22" s="78">
        <f>SUM(BH20:BQ21)</f>
        <v>1194.436301642115</v>
      </c>
      <c r="BI22" s="79"/>
      <c r="BJ22" s="79"/>
      <c r="BK22" s="79"/>
      <c r="BL22" s="79"/>
      <c r="BM22" s="79"/>
      <c r="BN22" s="79"/>
      <c r="BO22" s="79"/>
      <c r="BP22" s="79"/>
      <c r="BQ22" s="80"/>
      <c r="BR22" s="78">
        <f>SUM(BR20:CA21)</f>
        <v>971.0315621615464</v>
      </c>
      <c r="BS22" s="79"/>
      <c r="BT22" s="79"/>
      <c r="BU22" s="79"/>
      <c r="BV22" s="79"/>
      <c r="BW22" s="79"/>
      <c r="BX22" s="79"/>
      <c r="BY22" s="79"/>
      <c r="BZ22" s="79"/>
      <c r="CA22" s="80"/>
      <c r="CB22" s="78">
        <f>SUM(CB20:CK21)</f>
        <v>674.7575261779377</v>
      </c>
      <c r="CC22" s="79"/>
      <c r="CD22" s="79"/>
      <c r="CE22" s="79"/>
      <c r="CF22" s="79"/>
      <c r="CG22" s="79"/>
      <c r="CH22" s="79"/>
      <c r="CI22" s="79"/>
      <c r="CJ22" s="79"/>
      <c r="CK22" s="80"/>
      <c r="CL22" s="78">
        <f>SUM(CL20:CU21)</f>
        <v>1934.4284781341073</v>
      </c>
      <c r="CM22" s="79"/>
      <c r="CN22" s="79"/>
      <c r="CO22" s="79"/>
      <c r="CP22" s="79"/>
      <c r="CQ22" s="79"/>
      <c r="CR22" s="79"/>
      <c r="CS22" s="79"/>
      <c r="CT22" s="79"/>
      <c r="CU22" s="80"/>
      <c r="CV22" s="4"/>
      <c r="CW22" s="5"/>
    </row>
    <row r="24" s="7" customFormat="1" ht="15.75">
      <c r="BR24" s="43"/>
    </row>
    <row r="25" spans="1:106" s="9" customFormat="1" ht="15.75">
      <c r="A25" s="8"/>
      <c r="BR25" s="8"/>
      <c r="CV25" s="81"/>
      <c r="CW25" s="81"/>
      <c r="CX25" s="81"/>
      <c r="CY25" s="81"/>
      <c r="CZ25" s="81"/>
      <c r="DA25" s="81"/>
      <c r="DB25" s="81"/>
    </row>
    <row r="26" spans="1:99" ht="15.75">
      <c r="A26" s="81" t="s">
        <v>24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</row>
    <row r="27" spans="1:99" s="1" customFormat="1" ht="18.75" customHeight="1">
      <c r="A27" s="81" t="s">
        <v>25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</row>
    <row r="29" spans="1:34" ht="15.75">
      <c r="A29" s="46">
        <v>1</v>
      </c>
      <c r="B29" s="46"/>
      <c r="C29" s="46"/>
      <c r="D29" s="46"/>
      <c r="E29" s="11" t="s">
        <v>26</v>
      </c>
      <c r="W29" s="46" t="s">
        <v>27</v>
      </c>
      <c r="X29" s="46"/>
      <c r="Y29" s="47">
        <f>CH36</f>
        <v>1195617.92625</v>
      </c>
      <c r="Z29" s="47"/>
      <c r="AA29" s="47"/>
      <c r="AB29" s="47"/>
      <c r="AC29" s="47"/>
      <c r="AD29" s="47"/>
      <c r="AE29" s="47"/>
      <c r="AF29" s="47"/>
      <c r="AG29" s="47"/>
      <c r="AH29" s="47"/>
    </row>
    <row r="30" spans="5:106" ht="15.75">
      <c r="E30" s="11"/>
      <c r="Y30" s="12"/>
      <c r="Z30" s="12"/>
      <c r="AA30" s="12"/>
      <c r="AB30" s="12"/>
      <c r="AC30" s="12"/>
      <c r="AD30" s="12"/>
      <c r="AE30" s="12"/>
      <c r="AF30" s="12"/>
      <c r="AG30" s="12"/>
      <c r="AH30" s="76" t="s">
        <v>28</v>
      </c>
      <c r="AI30" s="76"/>
      <c r="AJ30" s="76"/>
      <c r="AK30" s="76"/>
      <c r="AL30" s="76"/>
      <c r="AM30" s="76"/>
      <c r="AN30" s="76"/>
      <c r="AO30" s="76"/>
      <c r="AP30" s="76"/>
      <c r="AQ30" s="76"/>
      <c r="AR30" s="76" t="s">
        <v>29</v>
      </c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 t="s">
        <v>30</v>
      </c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CV30" s="46"/>
      <c r="CW30" s="46"/>
      <c r="CX30" s="46"/>
      <c r="CY30" s="46"/>
      <c r="CZ30" s="46"/>
      <c r="DA30" s="46"/>
      <c r="DB30" s="46"/>
    </row>
    <row r="31" spans="1:106" ht="15.75">
      <c r="A31" s="49" t="s">
        <v>31</v>
      </c>
      <c r="B31" s="49"/>
      <c r="C31" s="49"/>
      <c r="D31" s="49"/>
      <c r="E31" s="13" t="s">
        <v>32</v>
      </c>
      <c r="AH31" s="73">
        <v>1</v>
      </c>
      <c r="AI31" s="73"/>
      <c r="AJ31" s="73"/>
      <c r="AK31" s="73"/>
      <c r="AL31" s="73"/>
      <c r="AM31" s="73"/>
      <c r="AN31" s="73"/>
      <c r="AO31" s="73"/>
      <c r="AP31" s="73"/>
      <c r="AQ31" s="73"/>
      <c r="AR31" s="74">
        <v>45.97</v>
      </c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>
        <f>AH31*AR31</f>
        <v>45.97</v>
      </c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CV31" s="77"/>
      <c r="CW31" s="77"/>
      <c r="CX31" s="77"/>
      <c r="CY31" s="77"/>
      <c r="CZ31" s="77"/>
      <c r="DA31" s="77"/>
      <c r="DB31" s="77"/>
    </row>
    <row r="32" spans="1:106" ht="15.75" customHeight="1">
      <c r="A32" s="49" t="s">
        <v>33</v>
      </c>
      <c r="B32" s="49"/>
      <c r="C32" s="49"/>
      <c r="D32" s="49"/>
      <c r="E32" s="13" t="s">
        <v>34</v>
      </c>
      <c r="AH32" s="73">
        <v>1</v>
      </c>
      <c r="AI32" s="73"/>
      <c r="AJ32" s="73"/>
      <c r="AK32" s="73"/>
      <c r="AL32" s="73"/>
      <c r="AM32" s="73"/>
      <c r="AN32" s="73"/>
      <c r="AO32" s="73"/>
      <c r="AP32" s="73"/>
      <c r="AQ32" s="73"/>
      <c r="AR32" s="74">
        <v>51.96</v>
      </c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>
        <f>AH32*AR32</f>
        <v>51.96</v>
      </c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CV32" s="75"/>
      <c r="CW32" s="75"/>
      <c r="CX32" s="75"/>
      <c r="CY32" s="75"/>
      <c r="CZ32" s="75"/>
      <c r="DA32" s="75"/>
      <c r="DB32" s="75"/>
    </row>
    <row r="33" spans="1:106" ht="15.75">
      <c r="A33" s="49" t="s">
        <v>35</v>
      </c>
      <c r="B33" s="49"/>
      <c r="C33" s="49"/>
      <c r="D33" s="49"/>
      <c r="E33" s="13" t="s">
        <v>36</v>
      </c>
      <c r="AH33" s="73">
        <v>0.5</v>
      </c>
      <c r="AI33" s="73"/>
      <c r="AJ33" s="73"/>
      <c r="AK33" s="73"/>
      <c r="AL33" s="73"/>
      <c r="AM33" s="73"/>
      <c r="AN33" s="73"/>
      <c r="AO33" s="73"/>
      <c r="AP33" s="73"/>
      <c r="AQ33" s="73"/>
      <c r="AR33" s="74">
        <v>96.03</v>
      </c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>
        <f>AH33*AR33</f>
        <v>48.015</v>
      </c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CV33" s="75"/>
      <c r="CW33" s="75"/>
      <c r="CX33" s="75"/>
      <c r="CY33" s="75"/>
      <c r="CZ33" s="75"/>
      <c r="DA33" s="75"/>
      <c r="DB33" s="75"/>
    </row>
    <row r="34" spans="1:106" ht="15.75">
      <c r="A34" s="14"/>
      <c r="B34" s="14"/>
      <c r="C34" s="14"/>
      <c r="D34" s="14"/>
      <c r="E34" s="45" t="s">
        <v>37</v>
      </c>
      <c r="F34" s="45"/>
      <c r="G34" s="45"/>
      <c r="H34" s="45"/>
      <c r="I34" s="45"/>
      <c r="J34" s="45"/>
      <c r="K34" s="45"/>
      <c r="AH34" s="73">
        <f>SUM(AH31:AQ33)</f>
        <v>2.5</v>
      </c>
      <c r="AI34" s="73"/>
      <c r="AJ34" s="73"/>
      <c r="AK34" s="73"/>
      <c r="AL34" s="73"/>
      <c r="AM34" s="73"/>
      <c r="AN34" s="73"/>
      <c r="AO34" s="73"/>
      <c r="AP34" s="73"/>
      <c r="AQ34" s="73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F34" s="74">
        <f>SUM(BF31:BY33)</f>
        <v>145.945</v>
      </c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CV34" s="75"/>
      <c r="CW34" s="75"/>
      <c r="CX34" s="75"/>
      <c r="CY34" s="75"/>
      <c r="CZ34" s="75"/>
      <c r="DA34" s="75"/>
      <c r="DB34" s="75"/>
    </row>
    <row r="35" spans="1:106" ht="15.75">
      <c r="A35" s="14"/>
      <c r="B35" s="14"/>
      <c r="C35" s="14"/>
      <c r="D35" s="14"/>
      <c r="E35" s="16" t="s">
        <v>38</v>
      </c>
      <c r="F35" s="16"/>
      <c r="G35" s="16"/>
      <c r="H35" s="16"/>
      <c r="I35" s="16"/>
      <c r="J35" s="16"/>
      <c r="K35" s="16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74">
        <f>BF34/AH34</f>
        <v>58.378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CV35" s="75"/>
      <c r="CW35" s="75"/>
      <c r="CX35" s="75"/>
      <c r="CY35" s="75"/>
      <c r="CZ35" s="75"/>
      <c r="DA35" s="75"/>
      <c r="DB35" s="75"/>
    </row>
    <row r="36" spans="1:101" ht="15.75">
      <c r="A36" s="14"/>
      <c r="B36" s="14"/>
      <c r="C36" s="14"/>
      <c r="D36" s="14"/>
      <c r="E36" s="70">
        <f>AR35</f>
        <v>58.378</v>
      </c>
      <c r="F36" s="70"/>
      <c r="G36" s="70"/>
      <c r="H36" s="70"/>
      <c r="I36" s="70"/>
      <c r="J36" s="70"/>
      <c r="K36" s="70"/>
      <c r="L36" s="46" t="s">
        <v>39</v>
      </c>
      <c r="M36" s="46"/>
      <c r="N36" s="46"/>
      <c r="O36" s="46"/>
      <c r="P36" s="10" t="s">
        <v>40</v>
      </c>
      <c r="Q36" s="70">
        <f>1986*AH34</f>
        <v>4965</v>
      </c>
      <c r="R36" s="70"/>
      <c r="S36" s="70"/>
      <c r="T36" s="70"/>
      <c r="U36" s="70"/>
      <c r="V36" s="70"/>
      <c r="W36" s="70"/>
      <c r="X36" s="70"/>
      <c r="Y36" s="70"/>
      <c r="Z36" s="18" t="s">
        <v>41</v>
      </c>
      <c r="AE36" s="10" t="s">
        <v>42</v>
      </c>
      <c r="AG36" s="71">
        <v>1.25</v>
      </c>
      <c r="AH36" s="71"/>
      <c r="AI36" s="71"/>
      <c r="AJ36" s="71"/>
      <c r="AK36" s="71"/>
      <c r="AL36" s="72" t="s">
        <v>43</v>
      </c>
      <c r="AM36" s="72"/>
      <c r="AN36" s="72"/>
      <c r="AO36" s="72"/>
      <c r="AP36" s="72"/>
      <c r="AQ36" s="72"/>
      <c r="AR36" s="72"/>
      <c r="AS36" s="72"/>
      <c r="AT36" s="72"/>
      <c r="AU36" s="46" t="s">
        <v>42</v>
      </c>
      <c r="AV36" s="46"/>
      <c r="AW36" s="68">
        <v>1.5</v>
      </c>
      <c r="AX36" s="68"/>
      <c r="AY36" s="68"/>
      <c r="AZ36" s="68"/>
      <c r="BA36" s="19" t="s">
        <v>44</v>
      </c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0" t="s">
        <v>40</v>
      </c>
      <c r="BO36" s="68">
        <v>2.2</v>
      </c>
      <c r="BP36" s="68"/>
      <c r="BQ36" s="68"/>
      <c r="BR36" s="68"/>
      <c r="BS36" s="46" t="s">
        <v>45</v>
      </c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 t="s">
        <v>27</v>
      </c>
      <c r="CG36" s="46"/>
      <c r="CH36" s="47">
        <f>E36*AG36*AW36*BO36*Q36</f>
        <v>1195617.92625</v>
      </c>
      <c r="CI36" s="47"/>
      <c r="CJ36" s="47"/>
      <c r="CK36" s="47"/>
      <c r="CL36" s="47"/>
      <c r="CM36" s="47"/>
      <c r="CN36" s="47"/>
      <c r="CO36" s="47"/>
      <c r="CP36" s="47"/>
      <c r="CQ36" s="47"/>
      <c r="CU36" s="20"/>
      <c r="CV36" s="21"/>
      <c r="CW36" s="31"/>
    </row>
    <row r="37" spans="1:101" ht="15.75">
      <c r="A37" s="14"/>
      <c r="B37" s="14"/>
      <c r="C37" s="14"/>
      <c r="D37" s="14"/>
      <c r="CV37" s="31"/>
      <c r="CW37" s="31"/>
    </row>
    <row r="38" spans="1:101" ht="15.75">
      <c r="A38" s="46">
        <v>2</v>
      </c>
      <c r="B38" s="46"/>
      <c r="C38" s="46"/>
      <c r="D38" s="46"/>
      <c r="E38" s="11" t="s">
        <v>46</v>
      </c>
      <c r="AN38" s="69">
        <v>0.259</v>
      </c>
      <c r="AO38" s="69"/>
      <c r="AP38" s="69"/>
      <c r="AQ38" s="69"/>
      <c r="AR38" s="69"/>
      <c r="AS38" s="69"/>
      <c r="AT38" s="69"/>
      <c r="AU38" s="46" t="s">
        <v>27</v>
      </c>
      <c r="AV38" s="46"/>
      <c r="AW38" s="47">
        <f>CH36*AN38</f>
        <v>309665.04289875</v>
      </c>
      <c r="AX38" s="47"/>
      <c r="AY38" s="47"/>
      <c r="AZ38" s="47"/>
      <c r="BA38" s="47"/>
      <c r="BB38" s="47"/>
      <c r="BC38" s="47"/>
      <c r="BD38" s="47"/>
      <c r="BE38" s="47"/>
      <c r="BF38" s="47"/>
      <c r="BK38" s="11" t="s">
        <v>91</v>
      </c>
      <c r="CV38" s="31"/>
      <c r="CW38" s="31"/>
    </row>
    <row r="39" spans="5:101" ht="15.75">
      <c r="E39" s="11"/>
      <c r="AN39" s="22"/>
      <c r="AO39" s="22"/>
      <c r="AP39" s="22"/>
      <c r="AQ39" s="22"/>
      <c r="AR39" s="22"/>
      <c r="AS39" s="22"/>
      <c r="AT39" s="2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CV39" s="31"/>
      <c r="CW39" s="31"/>
    </row>
    <row r="40" spans="1:101" ht="15.75">
      <c r="A40" s="46">
        <v>3</v>
      </c>
      <c r="B40" s="46"/>
      <c r="C40" s="46"/>
      <c r="D40" s="46"/>
      <c r="E40" s="23" t="s">
        <v>47</v>
      </c>
      <c r="AV40" s="20"/>
      <c r="AW40" s="20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CV40" s="31"/>
      <c r="CW40" s="31"/>
    </row>
    <row r="41" spans="1:106" ht="15.75">
      <c r="A41" s="25"/>
      <c r="B41" s="25"/>
      <c r="C41" s="25"/>
      <c r="D41" s="25"/>
      <c r="E41" s="66">
        <v>2527700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V41" s="10" t="s">
        <v>48</v>
      </c>
      <c r="AA41" s="10" t="s">
        <v>42</v>
      </c>
      <c r="AC41" s="46">
        <f>2.6949153*1.129</f>
        <v>3.0425593737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26" t="s">
        <v>39</v>
      </c>
      <c r="AO41" s="26"/>
      <c r="AP41" s="26"/>
      <c r="AQ41" s="26"/>
      <c r="AR41" s="27"/>
      <c r="AS41" s="22"/>
      <c r="AT41" s="22" t="s">
        <v>49</v>
      </c>
      <c r="AW41" s="12"/>
      <c r="AX41" s="47">
        <f>E41*AC41</f>
        <v>7690677.32890149</v>
      </c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20"/>
      <c r="BL41" s="20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CV41" s="46"/>
      <c r="CW41" s="46"/>
      <c r="CX41" s="46"/>
      <c r="CY41" s="46"/>
      <c r="CZ41" s="46"/>
      <c r="DA41" s="46"/>
      <c r="DB41" s="46"/>
    </row>
    <row r="42" spans="1:101" ht="16.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CV42" s="31"/>
      <c r="CW42" s="31"/>
    </row>
    <row r="43" spans="1:105" ht="15.75">
      <c r="A43" s="46">
        <v>4</v>
      </c>
      <c r="B43" s="46"/>
      <c r="C43" s="46"/>
      <c r="D43" s="46"/>
      <c r="E43" s="11" t="s">
        <v>50</v>
      </c>
      <c r="AN43" s="30"/>
      <c r="AO43" s="30"/>
      <c r="AP43" s="30"/>
      <c r="AQ43" s="30"/>
      <c r="AR43" s="30"/>
      <c r="AS43" s="30"/>
      <c r="AT43" s="30"/>
      <c r="BM43" s="46" t="s">
        <v>27</v>
      </c>
      <c r="BN43" s="46"/>
      <c r="BO43" s="47">
        <f>BQ68</f>
        <v>650186.3389255</v>
      </c>
      <c r="BP43" s="47"/>
      <c r="BQ43" s="47"/>
      <c r="BR43" s="47"/>
      <c r="BS43" s="47"/>
      <c r="BT43" s="47"/>
      <c r="BU43" s="47"/>
      <c r="BV43" s="47"/>
      <c r="BW43" s="47"/>
      <c r="BX43" s="47"/>
      <c r="CV43" s="67"/>
      <c r="CW43" s="67"/>
      <c r="CX43" s="67"/>
      <c r="CY43" s="67"/>
      <c r="CZ43" s="67"/>
      <c r="DA43" s="67"/>
    </row>
    <row r="44" spans="1:101" ht="15.75" customHeight="1">
      <c r="A44" s="44" t="s">
        <v>4</v>
      </c>
      <c r="B44" s="44"/>
      <c r="C44" s="44"/>
      <c r="D44" s="44"/>
      <c r="E44" s="44"/>
      <c r="F44" s="44"/>
      <c r="G44" s="44"/>
      <c r="H44" s="61" t="s">
        <v>51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2" t="s">
        <v>52</v>
      </c>
      <c r="AP44" s="62"/>
      <c r="AQ44" s="62"/>
      <c r="AR44" s="62"/>
      <c r="AS44" s="62"/>
      <c r="AT44" s="62"/>
      <c r="AU44" s="62"/>
      <c r="AV44" s="62" t="s">
        <v>53</v>
      </c>
      <c r="AW44" s="62"/>
      <c r="AX44" s="62"/>
      <c r="AY44" s="62"/>
      <c r="AZ44" s="62"/>
      <c r="BA44" s="62"/>
      <c r="BB44" s="62"/>
      <c r="BC44" s="63" t="s">
        <v>54</v>
      </c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63" t="s">
        <v>55</v>
      </c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5"/>
      <c r="CV44" s="32"/>
      <c r="CW44" s="31"/>
    </row>
    <row r="45" spans="1:102" ht="21.75" customHeight="1">
      <c r="A45" s="44">
        <v>1</v>
      </c>
      <c r="B45" s="44"/>
      <c r="C45" s="44"/>
      <c r="D45" s="44"/>
      <c r="E45" s="44"/>
      <c r="F45" s="44"/>
      <c r="G45" s="44"/>
      <c r="H45" s="50" t="s">
        <v>56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2"/>
      <c r="AO45" s="53" t="s">
        <v>57</v>
      </c>
      <c r="AP45" s="53"/>
      <c r="AQ45" s="53"/>
      <c r="AR45" s="53"/>
      <c r="AS45" s="53"/>
      <c r="AT45" s="53"/>
      <c r="AU45" s="53"/>
      <c r="AV45" s="58">
        <v>13</v>
      </c>
      <c r="AW45" s="58"/>
      <c r="AX45" s="58"/>
      <c r="AY45" s="58"/>
      <c r="AZ45" s="58"/>
      <c r="BA45" s="58"/>
      <c r="BB45" s="58"/>
      <c r="BC45" s="55">
        <f>2412.79*1.079</f>
        <v>2603.4004099999997</v>
      </c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7"/>
      <c r="BQ45" s="55">
        <f>AV45*BC45</f>
        <v>33844.20533</v>
      </c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7"/>
      <c r="CT45" s="20"/>
      <c r="CU45" s="20"/>
      <c r="CV45" s="33"/>
      <c r="CW45" s="31"/>
      <c r="CX45" s="34"/>
    </row>
    <row r="46" spans="1:101" ht="25.5" customHeight="1">
      <c r="A46" s="44">
        <v>2</v>
      </c>
      <c r="B46" s="44"/>
      <c r="C46" s="44"/>
      <c r="D46" s="44"/>
      <c r="E46" s="44"/>
      <c r="F46" s="44"/>
      <c r="G46" s="44"/>
      <c r="H46" s="50" t="s">
        <v>58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2"/>
      <c r="AO46" s="53" t="s">
        <v>57</v>
      </c>
      <c r="AP46" s="53"/>
      <c r="AQ46" s="53"/>
      <c r="AR46" s="53"/>
      <c r="AS46" s="53"/>
      <c r="AT46" s="53"/>
      <c r="AU46" s="53"/>
      <c r="AV46" s="58">
        <v>13</v>
      </c>
      <c r="AW46" s="58"/>
      <c r="AX46" s="58"/>
      <c r="AY46" s="58"/>
      <c r="AZ46" s="58"/>
      <c r="BA46" s="58"/>
      <c r="BB46" s="58"/>
      <c r="BC46" s="55">
        <f>1749.27*1.079</f>
        <v>1887.4623299999998</v>
      </c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7"/>
      <c r="BQ46" s="55">
        <f aca="true" t="shared" si="0" ref="BQ46:BQ67">AV46*BC46</f>
        <v>24537.01029</v>
      </c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7"/>
      <c r="CS46" s="20"/>
      <c r="CT46" s="20"/>
      <c r="CU46" s="20"/>
      <c r="CW46" s="31"/>
    </row>
    <row r="47" spans="1:101" ht="15.75" customHeight="1">
      <c r="A47" s="44">
        <v>3</v>
      </c>
      <c r="B47" s="44"/>
      <c r="C47" s="44"/>
      <c r="D47" s="44"/>
      <c r="E47" s="44"/>
      <c r="F47" s="44"/>
      <c r="G47" s="44"/>
      <c r="H47" s="50" t="s">
        <v>59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2"/>
      <c r="AO47" s="53" t="s">
        <v>57</v>
      </c>
      <c r="AP47" s="53"/>
      <c r="AQ47" s="53"/>
      <c r="AR47" s="53"/>
      <c r="AS47" s="53"/>
      <c r="AT47" s="53"/>
      <c r="AU47" s="53"/>
      <c r="AV47" s="58">
        <v>10</v>
      </c>
      <c r="AW47" s="58"/>
      <c r="AX47" s="58"/>
      <c r="AY47" s="58"/>
      <c r="AZ47" s="58"/>
      <c r="BA47" s="58"/>
      <c r="BB47" s="58"/>
      <c r="BC47" s="55">
        <f>99.13*1.079</f>
        <v>106.96126999999998</v>
      </c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55">
        <f t="shared" si="0"/>
        <v>1069.6127</v>
      </c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7"/>
      <c r="CV47" s="34"/>
      <c r="CW47" s="31"/>
    </row>
    <row r="48" spans="1:101" ht="15.75" customHeight="1">
      <c r="A48" s="44">
        <v>4</v>
      </c>
      <c r="B48" s="44"/>
      <c r="C48" s="44"/>
      <c r="D48" s="44"/>
      <c r="E48" s="44"/>
      <c r="F48" s="44"/>
      <c r="G48" s="44"/>
      <c r="H48" s="50" t="s">
        <v>60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2"/>
      <c r="AO48" s="53" t="s">
        <v>61</v>
      </c>
      <c r="AP48" s="53"/>
      <c r="AQ48" s="53"/>
      <c r="AR48" s="53"/>
      <c r="AS48" s="53"/>
      <c r="AT48" s="53"/>
      <c r="AU48" s="53"/>
      <c r="AV48" s="60">
        <v>450</v>
      </c>
      <c r="AW48" s="60"/>
      <c r="AX48" s="60"/>
      <c r="AY48" s="60"/>
      <c r="AZ48" s="60"/>
      <c r="BA48" s="60"/>
      <c r="BB48" s="60"/>
      <c r="BC48" s="55">
        <f>15.57*1.079</f>
        <v>16.80003</v>
      </c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55">
        <f t="shared" si="0"/>
        <v>7560.0135</v>
      </c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7"/>
      <c r="CV48" s="34"/>
      <c r="CW48" s="31"/>
    </row>
    <row r="49" spans="1:101" ht="15.75" customHeight="1">
      <c r="A49" s="44">
        <v>5</v>
      </c>
      <c r="B49" s="44"/>
      <c r="C49" s="44"/>
      <c r="D49" s="44"/>
      <c r="E49" s="44"/>
      <c r="F49" s="44"/>
      <c r="G49" s="44"/>
      <c r="H49" s="50" t="s">
        <v>62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2"/>
      <c r="AO49" s="53" t="s">
        <v>63</v>
      </c>
      <c r="AP49" s="53"/>
      <c r="AQ49" s="53"/>
      <c r="AR49" s="53"/>
      <c r="AS49" s="53"/>
      <c r="AT49" s="53"/>
      <c r="AU49" s="53"/>
      <c r="AV49" s="60">
        <v>0.55</v>
      </c>
      <c r="AW49" s="60"/>
      <c r="AX49" s="60"/>
      <c r="AY49" s="60"/>
      <c r="AZ49" s="60"/>
      <c r="BA49" s="60"/>
      <c r="BB49" s="60"/>
      <c r="BC49" s="55">
        <f>55990.29*1.079</f>
        <v>60413.52291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55">
        <f t="shared" si="0"/>
        <v>33227.4376005</v>
      </c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7"/>
      <c r="CV49" s="34"/>
      <c r="CW49" s="31"/>
    </row>
    <row r="50" spans="1:101" ht="15.75" customHeight="1">
      <c r="A50" s="44">
        <v>6</v>
      </c>
      <c r="B50" s="44"/>
      <c r="C50" s="44"/>
      <c r="D50" s="44"/>
      <c r="E50" s="44"/>
      <c r="F50" s="44"/>
      <c r="G50" s="44"/>
      <c r="H50" s="50" t="s">
        <v>64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2"/>
      <c r="AO50" s="53" t="s">
        <v>61</v>
      </c>
      <c r="AP50" s="53"/>
      <c r="AQ50" s="53"/>
      <c r="AR50" s="53"/>
      <c r="AS50" s="53"/>
      <c r="AT50" s="53"/>
      <c r="AU50" s="53"/>
      <c r="AV50" s="59">
        <v>40</v>
      </c>
      <c r="AW50" s="59"/>
      <c r="AX50" s="59"/>
      <c r="AY50" s="59"/>
      <c r="AZ50" s="59"/>
      <c r="BA50" s="59"/>
      <c r="BB50" s="59"/>
      <c r="BC50" s="55">
        <f>19.8*1.079</f>
        <v>21.3642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7"/>
      <c r="BQ50" s="55">
        <f t="shared" si="0"/>
        <v>854.568</v>
      </c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7"/>
      <c r="CV50" s="34"/>
      <c r="CW50" s="31"/>
    </row>
    <row r="51" spans="1:101" ht="16.5" customHeight="1">
      <c r="A51" s="44">
        <v>7</v>
      </c>
      <c r="B51" s="44"/>
      <c r="C51" s="44"/>
      <c r="D51" s="44"/>
      <c r="E51" s="44"/>
      <c r="F51" s="44"/>
      <c r="G51" s="44"/>
      <c r="H51" s="50" t="s">
        <v>65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2"/>
      <c r="AO51" s="53" t="s">
        <v>61</v>
      </c>
      <c r="AP51" s="53"/>
      <c r="AQ51" s="53"/>
      <c r="AR51" s="53"/>
      <c r="AS51" s="53"/>
      <c r="AT51" s="53"/>
      <c r="AU51" s="53"/>
      <c r="AV51" s="59">
        <v>40</v>
      </c>
      <c r="AW51" s="59"/>
      <c r="AX51" s="59"/>
      <c r="AY51" s="59"/>
      <c r="AZ51" s="59"/>
      <c r="BA51" s="59"/>
      <c r="BB51" s="59"/>
      <c r="BC51" s="55">
        <f>5129.35*1.079</f>
        <v>5534.56865</v>
      </c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7"/>
      <c r="BQ51" s="55">
        <f t="shared" si="0"/>
        <v>221382.746</v>
      </c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7"/>
      <c r="CV51" s="34"/>
      <c r="CW51" s="31"/>
    </row>
    <row r="52" spans="1:101" ht="15.75" customHeight="1">
      <c r="A52" s="44">
        <v>8</v>
      </c>
      <c r="B52" s="44"/>
      <c r="C52" s="44"/>
      <c r="D52" s="44"/>
      <c r="E52" s="44"/>
      <c r="F52" s="44"/>
      <c r="G52" s="44"/>
      <c r="H52" s="50" t="s">
        <v>66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2"/>
      <c r="AO52" s="53" t="s">
        <v>61</v>
      </c>
      <c r="AP52" s="53"/>
      <c r="AQ52" s="53"/>
      <c r="AR52" s="53"/>
      <c r="AS52" s="53"/>
      <c r="AT52" s="53"/>
      <c r="AU52" s="53"/>
      <c r="AV52" s="59">
        <v>30</v>
      </c>
      <c r="AW52" s="59"/>
      <c r="AX52" s="59"/>
      <c r="AY52" s="59"/>
      <c r="AZ52" s="59"/>
      <c r="BA52" s="59"/>
      <c r="BB52" s="59"/>
      <c r="BC52" s="55">
        <f>31.46*1.079</f>
        <v>33.94534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7"/>
      <c r="BQ52" s="55">
        <f t="shared" si="0"/>
        <v>1018.3602000000001</v>
      </c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7"/>
      <c r="CV52" s="35"/>
      <c r="CW52" s="31"/>
    </row>
    <row r="53" spans="1:101" ht="15.75" customHeight="1">
      <c r="A53" s="44">
        <v>9</v>
      </c>
      <c r="B53" s="44"/>
      <c r="C53" s="44"/>
      <c r="D53" s="44"/>
      <c r="E53" s="44"/>
      <c r="F53" s="44"/>
      <c r="G53" s="44"/>
      <c r="H53" s="50" t="s">
        <v>67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2"/>
      <c r="AO53" s="53" t="s">
        <v>61</v>
      </c>
      <c r="AP53" s="53"/>
      <c r="AQ53" s="53"/>
      <c r="AR53" s="53"/>
      <c r="AS53" s="53"/>
      <c r="AT53" s="53"/>
      <c r="AU53" s="53"/>
      <c r="AV53" s="59">
        <v>40</v>
      </c>
      <c r="AW53" s="59"/>
      <c r="AX53" s="59"/>
      <c r="AY53" s="59"/>
      <c r="AZ53" s="59"/>
      <c r="BA53" s="59"/>
      <c r="BB53" s="59"/>
      <c r="BC53" s="55">
        <f>608.71*1.079</f>
        <v>656.79809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7"/>
      <c r="BQ53" s="55">
        <f t="shared" si="0"/>
        <v>26271.923600000002</v>
      </c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7"/>
      <c r="CV53" s="35"/>
      <c r="CW53" s="31"/>
    </row>
    <row r="54" spans="1:101" ht="16.5" customHeight="1">
      <c r="A54" s="44">
        <v>10</v>
      </c>
      <c r="B54" s="44"/>
      <c r="C54" s="44"/>
      <c r="D54" s="44"/>
      <c r="E54" s="44"/>
      <c r="F54" s="44"/>
      <c r="G54" s="44"/>
      <c r="H54" s="50" t="s">
        <v>68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2"/>
      <c r="AO54" s="53" t="s">
        <v>61</v>
      </c>
      <c r="AP54" s="53"/>
      <c r="AQ54" s="53"/>
      <c r="AR54" s="53"/>
      <c r="AS54" s="53"/>
      <c r="AT54" s="53"/>
      <c r="AU54" s="53"/>
      <c r="AV54" s="59">
        <v>18</v>
      </c>
      <c r="AW54" s="59"/>
      <c r="AX54" s="59"/>
      <c r="AY54" s="59"/>
      <c r="AZ54" s="59"/>
      <c r="BA54" s="59"/>
      <c r="BB54" s="59"/>
      <c r="BC54" s="55">
        <f>3734.86*1.079</f>
        <v>4029.91394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7"/>
      <c r="BQ54" s="55">
        <f t="shared" si="0"/>
        <v>72538.45092</v>
      </c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7"/>
      <c r="CV54" s="35"/>
      <c r="CW54" s="31"/>
    </row>
    <row r="55" spans="1:101" ht="15.75" customHeight="1">
      <c r="A55" s="44">
        <v>11</v>
      </c>
      <c r="B55" s="44"/>
      <c r="C55" s="44"/>
      <c r="D55" s="44"/>
      <c r="E55" s="44"/>
      <c r="F55" s="44"/>
      <c r="G55" s="44"/>
      <c r="H55" s="50" t="s">
        <v>69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53" t="s">
        <v>61</v>
      </c>
      <c r="AP55" s="53"/>
      <c r="AQ55" s="53"/>
      <c r="AR55" s="53"/>
      <c r="AS55" s="53"/>
      <c r="AT55" s="53"/>
      <c r="AU55" s="53"/>
      <c r="AV55" s="59">
        <v>30</v>
      </c>
      <c r="AW55" s="59"/>
      <c r="AX55" s="59"/>
      <c r="AY55" s="59"/>
      <c r="AZ55" s="59"/>
      <c r="BA55" s="59"/>
      <c r="BB55" s="59"/>
      <c r="BC55" s="55">
        <f>95.92*1.079</f>
        <v>103.49768</v>
      </c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7"/>
      <c r="BQ55" s="55">
        <f t="shared" si="0"/>
        <v>3104.9304</v>
      </c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7"/>
      <c r="CV55" s="35"/>
      <c r="CW55" s="31"/>
    </row>
    <row r="56" spans="1:101" ht="15.75" customHeight="1">
      <c r="A56" s="44">
        <v>12</v>
      </c>
      <c r="B56" s="44"/>
      <c r="C56" s="44"/>
      <c r="D56" s="44"/>
      <c r="E56" s="44"/>
      <c r="F56" s="44"/>
      <c r="G56" s="44"/>
      <c r="H56" s="50" t="s">
        <v>70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2"/>
      <c r="AO56" s="53" t="s">
        <v>61</v>
      </c>
      <c r="AP56" s="53"/>
      <c r="AQ56" s="53"/>
      <c r="AR56" s="53"/>
      <c r="AS56" s="53"/>
      <c r="AT56" s="53"/>
      <c r="AU56" s="53"/>
      <c r="AV56" s="59">
        <v>15</v>
      </c>
      <c r="AW56" s="59"/>
      <c r="AX56" s="59"/>
      <c r="AY56" s="59"/>
      <c r="AZ56" s="59"/>
      <c r="BA56" s="59"/>
      <c r="BB56" s="59"/>
      <c r="BC56" s="55">
        <f>6360.04*1.079</f>
        <v>6862.48316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7"/>
      <c r="BQ56" s="55">
        <f t="shared" si="0"/>
        <v>102937.2474</v>
      </c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7"/>
      <c r="CV56" s="35"/>
      <c r="CW56" s="31"/>
    </row>
    <row r="57" spans="1:101" ht="15.75" customHeight="1">
      <c r="A57" s="44">
        <v>13</v>
      </c>
      <c r="B57" s="44"/>
      <c r="C57" s="44"/>
      <c r="D57" s="44"/>
      <c r="E57" s="44"/>
      <c r="F57" s="44"/>
      <c r="G57" s="44"/>
      <c r="H57" s="50" t="s">
        <v>71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2"/>
      <c r="AO57" s="53" t="s">
        <v>61</v>
      </c>
      <c r="AP57" s="53"/>
      <c r="AQ57" s="53"/>
      <c r="AR57" s="53"/>
      <c r="AS57" s="53"/>
      <c r="AT57" s="53"/>
      <c r="AU57" s="53"/>
      <c r="AV57" s="59">
        <v>15</v>
      </c>
      <c r="AW57" s="59"/>
      <c r="AX57" s="59"/>
      <c r="AY57" s="59"/>
      <c r="AZ57" s="59"/>
      <c r="BA57" s="59"/>
      <c r="BB57" s="59"/>
      <c r="BC57" s="55">
        <f>745.09*1.079</f>
        <v>803.95211</v>
      </c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7"/>
      <c r="BQ57" s="55">
        <f t="shared" si="0"/>
        <v>12059.281649999999</v>
      </c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7"/>
      <c r="CV57" s="35"/>
      <c r="CW57" s="31"/>
    </row>
    <row r="58" spans="1:101" ht="22.5" customHeight="1">
      <c r="A58" s="44">
        <v>14</v>
      </c>
      <c r="B58" s="44"/>
      <c r="C58" s="44"/>
      <c r="D58" s="44"/>
      <c r="E58" s="44"/>
      <c r="F58" s="44"/>
      <c r="G58" s="44"/>
      <c r="H58" s="50" t="s">
        <v>72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2"/>
      <c r="AO58" s="53" t="s">
        <v>61</v>
      </c>
      <c r="AP58" s="53"/>
      <c r="AQ58" s="53"/>
      <c r="AR58" s="53"/>
      <c r="AS58" s="53"/>
      <c r="AT58" s="53"/>
      <c r="AU58" s="53"/>
      <c r="AV58" s="59">
        <v>15</v>
      </c>
      <c r="AW58" s="59"/>
      <c r="AX58" s="59"/>
      <c r="AY58" s="59"/>
      <c r="AZ58" s="59"/>
      <c r="BA58" s="59"/>
      <c r="BB58" s="59"/>
      <c r="BC58" s="55">
        <f>990.49*1.079</f>
        <v>1068.73871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7"/>
      <c r="BQ58" s="55">
        <f t="shared" si="0"/>
        <v>16031.080650000002</v>
      </c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7"/>
      <c r="CV58" s="35"/>
      <c r="CW58" s="31"/>
    </row>
    <row r="59" spans="1:101" ht="15.75" customHeight="1">
      <c r="A59" s="44">
        <v>15</v>
      </c>
      <c r="B59" s="44"/>
      <c r="C59" s="44"/>
      <c r="D59" s="44"/>
      <c r="E59" s="44"/>
      <c r="F59" s="44"/>
      <c r="G59" s="44"/>
      <c r="H59" s="50" t="s">
        <v>73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3" t="s">
        <v>61</v>
      </c>
      <c r="AP59" s="53"/>
      <c r="AQ59" s="53"/>
      <c r="AR59" s="53"/>
      <c r="AS59" s="53"/>
      <c r="AT59" s="53"/>
      <c r="AU59" s="53"/>
      <c r="AV59" s="59">
        <v>15</v>
      </c>
      <c r="AW59" s="59"/>
      <c r="AX59" s="59"/>
      <c r="AY59" s="59"/>
      <c r="AZ59" s="59"/>
      <c r="BA59" s="59"/>
      <c r="BB59" s="59"/>
      <c r="BC59" s="55">
        <f>3673.24*1.079</f>
        <v>3963.4259599999996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7"/>
      <c r="BQ59" s="55">
        <f t="shared" si="0"/>
        <v>59451.38939999999</v>
      </c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7"/>
      <c r="CV59" s="35"/>
      <c r="CW59" s="31"/>
    </row>
    <row r="60" spans="1:101" ht="15.75" customHeight="1">
      <c r="A60" s="44">
        <v>16</v>
      </c>
      <c r="B60" s="44"/>
      <c r="C60" s="44"/>
      <c r="D60" s="44"/>
      <c r="E60" s="44"/>
      <c r="F60" s="44"/>
      <c r="G60" s="44"/>
      <c r="H60" s="50" t="s">
        <v>74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2"/>
      <c r="AO60" s="53" t="s">
        <v>75</v>
      </c>
      <c r="AP60" s="53"/>
      <c r="AQ60" s="53"/>
      <c r="AR60" s="53"/>
      <c r="AS60" s="53"/>
      <c r="AT60" s="53"/>
      <c r="AU60" s="53"/>
      <c r="AV60" s="60">
        <v>0.5</v>
      </c>
      <c r="AW60" s="60"/>
      <c r="AX60" s="60"/>
      <c r="AY60" s="60"/>
      <c r="AZ60" s="60"/>
      <c r="BA60" s="60"/>
      <c r="BB60" s="60"/>
      <c r="BC60" s="55">
        <f>29966.63*1.079</f>
        <v>32333.99377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7"/>
      <c r="BQ60" s="55">
        <f t="shared" si="0"/>
        <v>16166.996885</v>
      </c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7"/>
      <c r="CV60" s="35"/>
      <c r="CW60" s="31"/>
    </row>
    <row r="61" spans="1:101" ht="15.75" customHeight="1">
      <c r="A61" s="44">
        <v>17</v>
      </c>
      <c r="B61" s="44"/>
      <c r="C61" s="44"/>
      <c r="D61" s="44"/>
      <c r="E61" s="44"/>
      <c r="F61" s="44"/>
      <c r="G61" s="44"/>
      <c r="H61" s="50" t="s">
        <v>76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53" t="s">
        <v>61</v>
      </c>
      <c r="AP61" s="53"/>
      <c r="AQ61" s="53"/>
      <c r="AR61" s="53"/>
      <c r="AS61" s="53"/>
      <c r="AT61" s="53"/>
      <c r="AU61" s="53"/>
      <c r="AV61" s="59">
        <v>8</v>
      </c>
      <c r="AW61" s="59"/>
      <c r="AX61" s="59"/>
      <c r="AY61" s="59"/>
      <c r="AZ61" s="59"/>
      <c r="BA61" s="59"/>
      <c r="BB61" s="59"/>
      <c r="BC61" s="55">
        <f>633.7*1.079</f>
        <v>683.7623</v>
      </c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7"/>
      <c r="BQ61" s="55">
        <f t="shared" si="0"/>
        <v>5470.0984</v>
      </c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7"/>
      <c r="CV61" s="35"/>
      <c r="CW61" s="31"/>
    </row>
    <row r="62" spans="1:101" ht="24.75" customHeight="1">
      <c r="A62" s="44">
        <v>18</v>
      </c>
      <c r="B62" s="44"/>
      <c r="C62" s="44"/>
      <c r="D62" s="44"/>
      <c r="E62" s="44"/>
      <c r="F62" s="44"/>
      <c r="G62" s="44"/>
      <c r="H62" s="50" t="s">
        <v>77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53" t="s">
        <v>78</v>
      </c>
      <c r="AP62" s="53"/>
      <c r="AQ62" s="53"/>
      <c r="AR62" s="53"/>
      <c r="AS62" s="53"/>
      <c r="AT62" s="53"/>
      <c r="AU62" s="53"/>
      <c r="AV62" s="59">
        <v>30</v>
      </c>
      <c r="AW62" s="59"/>
      <c r="AX62" s="59"/>
      <c r="AY62" s="59"/>
      <c r="AZ62" s="59"/>
      <c r="BA62" s="59"/>
      <c r="BB62" s="59"/>
      <c r="BC62" s="55">
        <f>52.29*1.079</f>
        <v>56.42091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7"/>
      <c r="BQ62" s="55">
        <f t="shared" si="0"/>
        <v>1692.6272999999999</v>
      </c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7"/>
      <c r="CV62" s="35"/>
      <c r="CW62" s="31"/>
    </row>
    <row r="63" spans="1:101" ht="15.75" customHeight="1">
      <c r="A63" s="44">
        <v>19</v>
      </c>
      <c r="B63" s="44"/>
      <c r="C63" s="44"/>
      <c r="D63" s="44"/>
      <c r="E63" s="44"/>
      <c r="F63" s="44"/>
      <c r="G63" s="44"/>
      <c r="H63" s="50" t="s">
        <v>79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53" t="s">
        <v>78</v>
      </c>
      <c r="AP63" s="53"/>
      <c r="AQ63" s="53"/>
      <c r="AR63" s="53"/>
      <c r="AS63" s="53"/>
      <c r="AT63" s="53"/>
      <c r="AU63" s="53"/>
      <c r="AV63" s="59">
        <v>30</v>
      </c>
      <c r="AW63" s="59"/>
      <c r="AX63" s="59"/>
      <c r="AY63" s="59"/>
      <c r="AZ63" s="59"/>
      <c r="BA63" s="59"/>
      <c r="BB63" s="59"/>
      <c r="BC63" s="55">
        <f>71.86*1.079</f>
        <v>77.53694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7"/>
      <c r="BQ63" s="55">
        <f t="shared" si="0"/>
        <v>2326.1082</v>
      </c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7"/>
      <c r="CV63" s="35"/>
      <c r="CW63" s="31"/>
    </row>
    <row r="64" spans="1:101" ht="16.5" customHeight="1">
      <c r="A64" s="44">
        <v>20</v>
      </c>
      <c r="B64" s="44"/>
      <c r="C64" s="44"/>
      <c r="D64" s="44"/>
      <c r="E64" s="44"/>
      <c r="F64" s="44"/>
      <c r="G64" s="44"/>
      <c r="H64" s="50" t="s">
        <v>80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3" t="s">
        <v>61</v>
      </c>
      <c r="AP64" s="53"/>
      <c r="AQ64" s="53"/>
      <c r="AR64" s="53"/>
      <c r="AS64" s="53"/>
      <c r="AT64" s="53"/>
      <c r="AU64" s="53"/>
      <c r="AV64" s="59">
        <v>30</v>
      </c>
      <c r="AW64" s="59"/>
      <c r="AX64" s="59"/>
      <c r="AY64" s="59"/>
      <c r="AZ64" s="59"/>
      <c r="BA64" s="59"/>
      <c r="BB64" s="59"/>
      <c r="BC64" s="55">
        <f>66.81*1.079</f>
        <v>72.08799</v>
      </c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7"/>
      <c r="BQ64" s="55">
        <f t="shared" si="0"/>
        <v>2162.6397</v>
      </c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7"/>
      <c r="CV64" s="35"/>
      <c r="CW64" s="31"/>
    </row>
    <row r="65" spans="1:101" ht="15.75" customHeight="1">
      <c r="A65" s="44">
        <v>21</v>
      </c>
      <c r="B65" s="44"/>
      <c r="C65" s="44"/>
      <c r="D65" s="44"/>
      <c r="E65" s="44"/>
      <c r="F65" s="44"/>
      <c r="G65" s="44"/>
      <c r="H65" s="50" t="s">
        <v>81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 t="s">
        <v>61</v>
      </c>
      <c r="AP65" s="53"/>
      <c r="AQ65" s="53"/>
      <c r="AR65" s="53"/>
      <c r="AS65" s="53"/>
      <c r="AT65" s="53"/>
      <c r="AU65" s="53"/>
      <c r="AV65" s="59">
        <v>70</v>
      </c>
      <c r="AW65" s="59"/>
      <c r="AX65" s="59"/>
      <c r="AY65" s="59"/>
      <c r="AZ65" s="59"/>
      <c r="BA65" s="59"/>
      <c r="BB65" s="59"/>
      <c r="BC65" s="55">
        <f>14.44*1.079</f>
        <v>15.58076</v>
      </c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7"/>
      <c r="BQ65" s="55">
        <f t="shared" si="0"/>
        <v>1090.6532</v>
      </c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7"/>
      <c r="CV65" s="35"/>
      <c r="CW65" s="31"/>
    </row>
    <row r="66" spans="1:101" ht="35.25" customHeight="1">
      <c r="A66" s="44">
        <v>22</v>
      </c>
      <c r="B66" s="44"/>
      <c r="C66" s="44"/>
      <c r="D66" s="44"/>
      <c r="E66" s="44"/>
      <c r="F66" s="44"/>
      <c r="G66" s="44"/>
      <c r="H66" s="50" t="s">
        <v>82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3" t="s">
        <v>83</v>
      </c>
      <c r="AP66" s="53"/>
      <c r="AQ66" s="53"/>
      <c r="AR66" s="53"/>
      <c r="AS66" s="53"/>
      <c r="AT66" s="53"/>
      <c r="AU66" s="53"/>
      <c r="AV66" s="59">
        <v>40</v>
      </c>
      <c r="AW66" s="59"/>
      <c r="AX66" s="59"/>
      <c r="AY66" s="59"/>
      <c r="AZ66" s="59"/>
      <c r="BA66" s="59"/>
      <c r="BB66" s="59"/>
      <c r="BC66" s="55">
        <f>96.21*1.079</f>
        <v>103.81058999999999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7"/>
      <c r="BQ66" s="55">
        <f t="shared" si="0"/>
        <v>4152.4236</v>
      </c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7"/>
      <c r="CV66" s="35"/>
      <c r="CW66" s="31"/>
    </row>
    <row r="67" spans="1:101" ht="16.5" customHeight="1">
      <c r="A67" s="44">
        <v>23</v>
      </c>
      <c r="B67" s="44"/>
      <c r="C67" s="44"/>
      <c r="D67" s="44"/>
      <c r="E67" s="44"/>
      <c r="F67" s="44"/>
      <c r="G67" s="44"/>
      <c r="H67" s="50" t="s">
        <v>84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 t="s">
        <v>61</v>
      </c>
      <c r="AP67" s="53"/>
      <c r="AQ67" s="53"/>
      <c r="AR67" s="53"/>
      <c r="AS67" s="53"/>
      <c r="AT67" s="53"/>
      <c r="AU67" s="53"/>
      <c r="AV67" s="58">
        <v>40</v>
      </c>
      <c r="AW67" s="58"/>
      <c r="AX67" s="58"/>
      <c r="AY67" s="58"/>
      <c r="AZ67" s="58"/>
      <c r="BA67" s="58"/>
      <c r="BB67" s="58"/>
      <c r="BC67" s="55">
        <f>28.65*1.079</f>
        <v>30.913349999999998</v>
      </c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7"/>
      <c r="BQ67" s="55">
        <f t="shared" si="0"/>
        <v>1236.5339999999999</v>
      </c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7"/>
      <c r="CV67" s="35"/>
      <c r="CW67" s="31"/>
    </row>
    <row r="68" spans="1:106" s="36" customFormat="1" ht="18.75" customHeight="1">
      <c r="A68" s="44"/>
      <c r="B68" s="44"/>
      <c r="C68" s="44"/>
      <c r="D68" s="44"/>
      <c r="E68" s="44"/>
      <c r="F68" s="44"/>
      <c r="G68" s="44"/>
      <c r="H68" s="50" t="s">
        <v>37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3"/>
      <c r="AP68" s="53"/>
      <c r="AQ68" s="53"/>
      <c r="AR68" s="53"/>
      <c r="AS68" s="53"/>
      <c r="AT68" s="53"/>
      <c r="AU68" s="53"/>
      <c r="AV68" s="54"/>
      <c r="AW68" s="53"/>
      <c r="AX68" s="53"/>
      <c r="AY68" s="53"/>
      <c r="AZ68" s="53"/>
      <c r="BA68" s="53"/>
      <c r="BB68" s="53"/>
      <c r="BC68" s="55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7"/>
      <c r="BQ68" s="55">
        <f>SUM(BQ45:CD67)</f>
        <v>650186.3389255</v>
      </c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7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35"/>
      <c r="CW68" s="31"/>
      <c r="CX68" s="10"/>
      <c r="CY68" s="10"/>
      <c r="CZ68" s="10"/>
      <c r="DA68" s="10"/>
      <c r="DB68" s="10"/>
    </row>
    <row r="69" spans="1:106" ht="15.75">
      <c r="A69" s="46">
        <v>5</v>
      </c>
      <c r="B69" s="46"/>
      <c r="C69" s="46"/>
      <c r="D69" s="46"/>
      <c r="E69" s="11" t="s">
        <v>15</v>
      </c>
      <c r="AC69" s="46" t="s">
        <v>27</v>
      </c>
      <c r="AD69" s="46"/>
      <c r="AE69" s="47">
        <f>BE74</f>
        <v>858000</v>
      </c>
      <c r="AF69" s="47"/>
      <c r="AG69" s="47"/>
      <c r="AH69" s="47"/>
      <c r="AI69" s="47"/>
      <c r="AJ69" s="47"/>
      <c r="AK69" s="47"/>
      <c r="AL69" s="47"/>
      <c r="AM69" s="47"/>
      <c r="AN69" s="47"/>
      <c r="AO69" s="30"/>
      <c r="AP69" s="30"/>
      <c r="AQ69" s="30"/>
      <c r="AR69" s="30"/>
      <c r="AS69" s="30"/>
      <c r="AT69" s="30"/>
      <c r="CV69" s="37"/>
      <c r="CW69" s="38"/>
      <c r="CX69" s="36"/>
      <c r="CY69" s="36"/>
      <c r="CZ69" s="36"/>
      <c r="DA69" s="36"/>
      <c r="DB69" s="36"/>
    </row>
    <row r="70" spans="1:101" ht="15.75">
      <c r="A70" s="49" t="s">
        <v>85</v>
      </c>
      <c r="B70" s="49"/>
      <c r="C70" s="49"/>
      <c r="D70" s="49"/>
      <c r="E70" s="39" t="s">
        <v>86</v>
      </c>
      <c r="CV70" s="31"/>
      <c r="CW70" s="31"/>
    </row>
    <row r="71" spans="1:101" ht="15.75">
      <c r="A71" s="14"/>
      <c r="B71" s="14"/>
      <c r="C71" s="14"/>
      <c r="D71" s="14"/>
      <c r="E71" s="46"/>
      <c r="F71" s="46"/>
      <c r="G71" s="11"/>
      <c r="R71" s="46">
        <v>12</v>
      </c>
      <c r="S71" s="46"/>
      <c r="T71" s="46"/>
      <c r="U71" s="46"/>
      <c r="V71" s="46"/>
      <c r="W71" s="11" t="s">
        <v>87</v>
      </c>
      <c r="AL71" s="10" t="s">
        <v>40</v>
      </c>
      <c r="AM71" s="46">
        <v>52</v>
      </c>
      <c r="AN71" s="46"/>
      <c r="AO71" s="46"/>
      <c r="AP71" s="11" t="s">
        <v>88</v>
      </c>
      <c r="AR71" s="40"/>
      <c r="AS71" s="40"/>
      <c r="AT71" s="40" t="s">
        <v>40</v>
      </c>
      <c r="AU71" s="48">
        <v>525</v>
      </c>
      <c r="AV71" s="48"/>
      <c r="AW71" s="48"/>
      <c r="AX71" s="48"/>
      <c r="AY71" s="48"/>
      <c r="AZ71" s="48"/>
      <c r="BA71" s="48"/>
      <c r="BC71" s="46" t="s">
        <v>27</v>
      </c>
      <c r="BD71" s="46"/>
      <c r="BE71" s="47">
        <f>R71*AM71*AU71</f>
        <v>327600</v>
      </c>
      <c r="BF71" s="47"/>
      <c r="BG71" s="47"/>
      <c r="BH71" s="47"/>
      <c r="BI71" s="47"/>
      <c r="BJ71" s="47"/>
      <c r="BK71" s="47"/>
      <c r="BL71" s="47"/>
      <c r="BM71" s="47"/>
      <c r="BN71" s="47"/>
      <c r="CV71" s="31"/>
      <c r="CW71" s="31"/>
    </row>
    <row r="72" spans="1:108" ht="15.75">
      <c r="A72" s="49" t="s">
        <v>89</v>
      </c>
      <c r="B72" s="49"/>
      <c r="C72" s="49"/>
      <c r="D72" s="49"/>
      <c r="E72" s="39" t="s">
        <v>90</v>
      </c>
      <c r="CV72" s="46"/>
      <c r="CW72" s="46"/>
      <c r="CX72" s="46"/>
      <c r="CY72" s="46"/>
      <c r="CZ72" s="46"/>
      <c r="DA72" s="46"/>
      <c r="DB72" s="46"/>
      <c r="DC72" s="46"/>
      <c r="DD72" s="46"/>
    </row>
    <row r="73" spans="1:101" ht="15.75">
      <c r="A73" s="14"/>
      <c r="B73" s="14"/>
      <c r="C73" s="14"/>
      <c r="D73" s="14"/>
      <c r="E73" s="46"/>
      <c r="F73" s="46"/>
      <c r="G73" s="11"/>
      <c r="R73" s="46">
        <v>12</v>
      </c>
      <c r="S73" s="46"/>
      <c r="T73" s="46"/>
      <c r="U73" s="46"/>
      <c r="V73" s="46"/>
      <c r="W73" s="11" t="s">
        <v>87</v>
      </c>
      <c r="AL73" s="10" t="s">
        <v>40</v>
      </c>
      <c r="AM73" s="46">
        <v>52</v>
      </c>
      <c r="AN73" s="46"/>
      <c r="AO73" s="46"/>
      <c r="AP73" s="11" t="s">
        <v>88</v>
      </c>
      <c r="AR73" s="40"/>
      <c r="AS73" s="40"/>
      <c r="AT73" s="40" t="s">
        <v>40</v>
      </c>
      <c r="AU73" s="48">
        <v>850</v>
      </c>
      <c r="AV73" s="48"/>
      <c r="AW73" s="48"/>
      <c r="AX73" s="48"/>
      <c r="AY73" s="48"/>
      <c r="AZ73" s="48"/>
      <c r="BA73" s="48"/>
      <c r="BC73" s="46" t="s">
        <v>27</v>
      </c>
      <c r="BD73" s="46"/>
      <c r="BE73" s="47">
        <f>R73*AM73*AU73</f>
        <v>530400</v>
      </c>
      <c r="BF73" s="47"/>
      <c r="BG73" s="47"/>
      <c r="BH73" s="47"/>
      <c r="BI73" s="47"/>
      <c r="BJ73" s="47"/>
      <c r="BK73" s="47"/>
      <c r="BL73" s="47"/>
      <c r="BM73" s="47"/>
      <c r="BN73" s="47"/>
      <c r="CV73" s="31"/>
      <c r="CW73" s="31"/>
    </row>
    <row r="74" spans="1:101" ht="15.75">
      <c r="A74" s="14"/>
      <c r="B74" s="14"/>
      <c r="C74" s="14"/>
      <c r="D74" s="14"/>
      <c r="E74" s="45" t="s">
        <v>37</v>
      </c>
      <c r="F74" s="45"/>
      <c r="G74" s="45"/>
      <c r="H74" s="45"/>
      <c r="I74" s="45"/>
      <c r="J74" s="45"/>
      <c r="K74" s="45"/>
      <c r="BC74" s="46" t="s">
        <v>27</v>
      </c>
      <c r="BD74" s="46"/>
      <c r="BE74" s="47">
        <f>SUM(BE71:BN73)</f>
        <v>858000</v>
      </c>
      <c r="BF74" s="47"/>
      <c r="BG74" s="47"/>
      <c r="BH74" s="47"/>
      <c r="BI74" s="47"/>
      <c r="BJ74" s="47"/>
      <c r="BK74" s="47"/>
      <c r="BL74" s="47"/>
      <c r="BM74" s="47"/>
      <c r="BN74" s="47"/>
      <c r="CV74" s="31"/>
      <c r="CW74" s="31"/>
    </row>
    <row r="78" spans="6:27" ht="15.75">
      <c r="F78" s="41"/>
      <c r="G78" s="41"/>
      <c r="H78" s="41"/>
      <c r="I78" s="41"/>
      <c r="J78" s="41"/>
      <c r="K78" s="41"/>
      <c r="L78" s="41"/>
      <c r="M78" s="41"/>
      <c r="N78" s="41"/>
      <c r="O78" s="20"/>
      <c r="P78" s="20"/>
      <c r="Q78" s="20"/>
      <c r="R78" s="20"/>
      <c r="T78" s="42"/>
      <c r="U78" s="42"/>
      <c r="V78" s="42"/>
      <c r="W78" s="42"/>
      <c r="X78" s="42"/>
      <c r="Y78" s="20"/>
      <c r="Z78" s="20"/>
      <c r="AA78" s="20"/>
    </row>
  </sheetData>
  <sheetProtection/>
  <mergeCells count="337">
    <mergeCell ref="B1:CU1"/>
    <mergeCell ref="B2:CU2"/>
    <mergeCell ref="A3:CU3"/>
    <mergeCell ref="A4:CU4"/>
    <mergeCell ref="A5:CU5"/>
    <mergeCell ref="CI6:CU6"/>
    <mergeCell ref="A7:D8"/>
    <mergeCell ref="E7:AW8"/>
    <mergeCell ref="AX7:BG8"/>
    <mergeCell ref="BH7:CU7"/>
    <mergeCell ref="BH8:BQ8"/>
    <mergeCell ref="BR8:CA8"/>
    <mergeCell ref="A9:D9"/>
    <mergeCell ref="E9:AW9"/>
    <mergeCell ref="AX9:BG9"/>
    <mergeCell ref="BH9:BQ9"/>
    <mergeCell ref="BR9:CA9"/>
    <mergeCell ref="CB9:CK9"/>
    <mergeCell ref="AX10:BG10"/>
    <mergeCell ref="BH10:BQ10"/>
    <mergeCell ref="BR10:CA10"/>
    <mergeCell ref="CB10:CK10"/>
    <mergeCell ref="CB8:CK8"/>
    <mergeCell ref="CL8:CU8"/>
    <mergeCell ref="CL9:CU9"/>
    <mergeCell ref="CL10:CU10"/>
    <mergeCell ref="A11:D11"/>
    <mergeCell ref="E11:AW11"/>
    <mergeCell ref="AX11:BG11"/>
    <mergeCell ref="BH11:BQ11"/>
    <mergeCell ref="BR11:CA11"/>
    <mergeCell ref="CB11:CK11"/>
    <mergeCell ref="CL11:CU11"/>
    <mergeCell ref="A10:D10"/>
    <mergeCell ref="E10:AW10"/>
    <mergeCell ref="CB13:CK13"/>
    <mergeCell ref="CL13:CU13"/>
    <mergeCell ref="A12:D12"/>
    <mergeCell ref="E12:AW12"/>
    <mergeCell ref="AX12:BG12"/>
    <mergeCell ref="BH12:BQ12"/>
    <mergeCell ref="BR12:CA12"/>
    <mergeCell ref="CB12:CK12"/>
    <mergeCell ref="AX14:BG14"/>
    <mergeCell ref="BH14:BQ14"/>
    <mergeCell ref="BR14:CA14"/>
    <mergeCell ref="CB14:CK14"/>
    <mergeCell ref="CL12:CU12"/>
    <mergeCell ref="A13:D13"/>
    <mergeCell ref="E13:AW13"/>
    <mergeCell ref="AX13:BG13"/>
    <mergeCell ref="BH13:BQ13"/>
    <mergeCell ref="BR13:CA13"/>
    <mergeCell ref="CL14:CU14"/>
    <mergeCell ref="A15:D15"/>
    <mergeCell ref="E15:AW15"/>
    <mergeCell ref="AX15:BG15"/>
    <mergeCell ref="BH15:BQ15"/>
    <mergeCell ref="BR15:CA15"/>
    <mergeCell ref="CB15:CK15"/>
    <mergeCell ref="CL15:CU15"/>
    <mergeCell ref="A14:D14"/>
    <mergeCell ref="E14:AW14"/>
    <mergeCell ref="CB17:CK17"/>
    <mergeCell ref="CL17:CU17"/>
    <mergeCell ref="A16:D16"/>
    <mergeCell ref="E16:AW16"/>
    <mergeCell ref="AX16:BG16"/>
    <mergeCell ref="BH16:BQ16"/>
    <mergeCell ref="BR16:CA16"/>
    <mergeCell ref="CB16:CK16"/>
    <mergeCell ref="AX18:BG18"/>
    <mergeCell ref="BH18:BQ18"/>
    <mergeCell ref="BR18:CA18"/>
    <mergeCell ref="CB18:CK18"/>
    <mergeCell ref="CL16:CU16"/>
    <mergeCell ref="A17:D17"/>
    <mergeCell ref="E17:AW17"/>
    <mergeCell ref="AX17:BG17"/>
    <mergeCell ref="BH17:BQ17"/>
    <mergeCell ref="BR17:CA17"/>
    <mergeCell ref="CL18:CU18"/>
    <mergeCell ref="A19:D19"/>
    <mergeCell ref="E19:AW19"/>
    <mergeCell ref="AX19:BG19"/>
    <mergeCell ref="BH19:BQ19"/>
    <mergeCell ref="BR19:CA19"/>
    <mergeCell ref="CB19:CK19"/>
    <mergeCell ref="CL19:CU19"/>
    <mergeCell ref="A18:D18"/>
    <mergeCell ref="E18:AW18"/>
    <mergeCell ref="CL21:CU21"/>
    <mergeCell ref="A20:D20"/>
    <mergeCell ref="E20:AW20"/>
    <mergeCell ref="AX20:BG20"/>
    <mergeCell ref="BH20:BQ20"/>
    <mergeCell ref="BR20:CA20"/>
    <mergeCell ref="CB20:CK20"/>
    <mergeCell ref="BH22:BQ22"/>
    <mergeCell ref="BR22:CA22"/>
    <mergeCell ref="CB22:CK22"/>
    <mergeCell ref="CL20:CU20"/>
    <mergeCell ref="A21:D21"/>
    <mergeCell ref="E21:AW21"/>
    <mergeCell ref="AX21:BG21"/>
    <mergeCell ref="BH21:BQ21"/>
    <mergeCell ref="BR21:CA21"/>
    <mergeCell ref="CB21:CK21"/>
    <mergeCell ref="CL22:CU22"/>
    <mergeCell ref="CV25:DB25"/>
    <mergeCell ref="A26:CU26"/>
    <mergeCell ref="A27:CU27"/>
    <mergeCell ref="A29:D29"/>
    <mergeCell ref="W29:X29"/>
    <mergeCell ref="Y29:AH29"/>
    <mergeCell ref="A22:D22"/>
    <mergeCell ref="E22:AW22"/>
    <mergeCell ref="AX22:BG22"/>
    <mergeCell ref="CV30:DB30"/>
    <mergeCell ref="A31:D31"/>
    <mergeCell ref="AH31:AQ31"/>
    <mergeCell ref="AR31:BE31"/>
    <mergeCell ref="BF31:BY31"/>
    <mergeCell ref="CV31:DB31"/>
    <mergeCell ref="AH33:AQ33"/>
    <mergeCell ref="AR33:BE33"/>
    <mergeCell ref="BF33:BY33"/>
    <mergeCell ref="AH30:AQ30"/>
    <mergeCell ref="AR30:BE30"/>
    <mergeCell ref="BF30:BY30"/>
    <mergeCell ref="BF34:BY34"/>
    <mergeCell ref="CV34:DB34"/>
    <mergeCell ref="AR35:BE35"/>
    <mergeCell ref="CV35:DB35"/>
    <mergeCell ref="A32:D32"/>
    <mergeCell ref="AH32:AQ32"/>
    <mergeCell ref="AR32:BE32"/>
    <mergeCell ref="BF32:BY32"/>
    <mergeCell ref="CV32:DB33"/>
    <mergeCell ref="A33:D33"/>
    <mergeCell ref="L36:O36"/>
    <mergeCell ref="Q36:Y36"/>
    <mergeCell ref="AG36:AK36"/>
    <mergeCell ref="AL36:AT36"/>
    <mergeCell ref="AU36:AV36"/>
    <mergeCell ref="E34:K34"/>
    <mergeCell ref="AH34:AQ34"/>
    <mergeCell ref="AW36:AZ36"/>
    <mergeCell ref="BO36:BR36"/>
    <mergeCell ref="BS36:CE36"/>
    <mergeCell ref="CF36:CG36"/>
    <mergeCell ref="CH36:CQ36"/>
    <mergeCell ref="A38:D38"/>
    <mergeCell ref="AN38:AT38"/>
    <mergeCell ref="AU38:AV38"/>
    <mergeCell ref="AW38:BF38"/>
    <mergeCell ref="E36:K36"/>
    <mergeCell ref="A40:D40"/>
    <mergeCell ref="E41:Q41"/>
    <mergeCell ref="AC41:AM41"/>
    <mergeCell ref="AX41:BJ41"/>
    <mergeCell ref="CV41:DB41"/>
    <mergeCell ref="A43:D43"/>
    <mergeCell ref="BM43:BN43"/>
    <mergeCell ref="BO43:BX43"/>
    <mergeCell ref="CV43:DA43"/>
    <mergeCell ref="A44:G44"/>
    <mergeCell ref="H44:AN44"/>
    <mergeCell ref="AO44:AU44"/>
    <mergeCell ref="AV44:BB44"/>
    <mergeCell ref="BC44:BP44"/>
    <mergeCell ref="BQ44:CD44"/>
    <mergeCell ref="A45:G45"/>
    <mergeCell ref="H45:AN45"/>
    <mergeCell ref="AO45:AU45"/>
    <mergeCell ref="AV45:BB45"/>
    <mergeCell ref="BC45:BP45"/>
    <mergeCell ref="BQ45:CD45"/>
    <mergeCell ref="A46:G46"/>
    <mergeCell ref="H46:AN46"/>
    <mergeCell ref="AO46:AU46"/>
    <mergeCell ref="AV46:BB46"/>
    <mergeCell ref="BC46:BP46"/>
    <mergeCell ref="BQ46:CD46"/>
    <mergeCell ref="A47:G47"/>
    <mergeCell ref="H47:AN47"/>
    <mergeCell ref="AO47:AU47"/>
    <mergeCell ref="AV47:BB47"/>
    <mergeCell ref="BC47:BP47"/>
    <mergeCell ref="BQ47:CD47"/>
    <mergeCell ref="A48:G48"/>
    <mergeCell ref="H48:AN48"/>
    <mergeCell ref="AO48:AU48"/>
    <mergeCell ref="AV48:BB48"/>
    <mergeCell ref="BC48:BP48"/>
    <mergeCell ref="BQ48:CD48"/>
    <mergeCell ref="A49:G49"/>
    <mergeCell ref="H49:AN49"/>
    <mergeCell ref="AO49:AU49"/>
    <mergeCell ref="AV49:BB49"/>
    <mergeCell ref="BC49:BP49"/>
    <mergeCell ref="BQ49:CD49"/>
    <mergeCell ref="A50:G50"/>
    <mergeCell ref="H50:AN50"/>
    <mergeCell ref="AO50:AU50"/>
    <mergeCell ref="AV50:BB50"/>
    <mergeCell ref="BC50:BP50"/>
    <mergeCell ref="BQ50:CD50"/>
    <mergeCell ref="A51:G51"/>
    <mergeCell ref="H51:AN51"/>
    <mergeCell ref="AO51:AU51"/>
    <mergeCell ref="AV51:BB51"/>
    <mergeCell ref="BC51:BP51"/>
    <mergeCell ref="BQ51:CD51"/>
    <mergeCell ref="A52:G52"/>
    <mergeCell ref="H52:AN52"/>
    <mergeCell ref="AO52:AU52"/>
    <mergeCell ref="AV52:BB52"/>
    <mergeCell ref="BC52:BP52"/>
    <mergeCell ref="BQ52:CD52"/>
    <mergeCell ref="A53:G53"/>
    <mergeCell ref="H53:AN53"/>
    <mergeCell ref="AO53:AU53"/>
    <mergeCell ref="AV53:BB53"/>
    <mergeCell ref="BC53:BP53"/>
    <mergeCell ref="BQ53:CD53"/>
    <mergeCell ref="A54:G54"/>
    <mergeCell ref="H54:AN54"/>
    <mergeCell ref="AO54:AU54"/>
    <mergeCell ref="AV54:BB54"/>
    <mergeCell ref="BC54:BP54"/>
    <mergeCell ref="BQ54:CD54"/>
    <mergeCell ref="A55:G55"/>
    <mergeCell ref="H55:AN55"/>
    <mergeCell ref="AO55:AU55"/>
    <mergeCell ref="AV55:BB55"/>
    <mergeCell ref="BC55:BP55"/>
    <mergeCell ref="BQ55:CD55"/>
    <mergeCell ref="A56:G56"/>
    <mergeCell ref="H56:AN56"/>
    <mergeCell ref="AO56:AU56"/>
    <mergeCell ref="AV56:BB56"/>
    <mergeCell ref="BC56:BP56"/>
    <mergeCell ref="BQ56:CD56"/>
    <mergeCell ref="A57:G57"/>
    <mergeCell ref="H57:AN57"/>
    <mergeCell ref="AO57:AU57"/>
    <mergeCell ref="AV57:BB57"/>
    <mergeCell ref="BC57:BP57"/>
    <mergeCell ref="BQ57:CD57"/>
    <mergeCell ref="A58:G58"/>
    <mergeCell ref="H58:AN58"/>
    <mergeCell ref="AO58:AU58"/>
    <mergeCell ref="AV58:BB58"/>
    <mergeCell ref="BC58:BP58"/>
    <mergeCell ref="BQ58:CD58"/>
    <mergeCell ref="A59:G59"/>
    <mergeCell ref="H59:AN59"/>
    <mergeCell ref="AO59:AU59"/>
    <mergeCell ref="AV59:BB59"/>
    <mergeCell ref="BC59:BP59"/>
    <mergeCell ref="BQ59:CD59"/>
    <mergeCell ref="A60:G60"/>
    <mergeCell ref="H60:AN60"/>
    <mergeCell ref="AO60:AU60"/>
    <mergeCell ref="AV60:BB60"/>
    <mergeCell ref="BC60:BP60"/>
    <mergeCell ref="BQ60:CD60"/>
    <mergeCell ref="A61:G61"/>
    <mergeCell ref="H61:AN61"/>
    <mergeCell ref="AO61:AU61"/>
    <mergeCell ref="AV61:BB61"/>
    <mergeCell ref="BC61:BP61"/>
    <mergeCell ref="BQ61:CD61"/>
    <mergeCell ref="A62:G62"/>
    <mergeCell ref="H62:AN62"/>
    <mergeCell ref="AO62:AU62"/>
    <mergeCell ref="AV62:BB62"/>
    <mergeCell ref="BC62:BP62"/>
    <mergeCell ref="BQ62:CD62"/>
    <mergeCell ref="A63:G63"/>
    <mergeCell ref="H63:AN63"/>
    <mergeCell ref="AO63:AU63"/>
    <mergeCell ref="AV63:BB63"/>
    <mergeCell ref="BC63:BP63"/>
    <mergeCell ref="BQ63:CD63"/>
    <mergeCell ref="A64:G64"/>
    <mergeCell ref="H64:AN64"/>
    <mergeCell ref="AO64:AU64"/>
    <mergeCell ref="AV64:BB64"/>
    <mergeCell ref="BC64:BP64"/>
    <mergeCell ref="BQ64:CD64"/>
    <mergeCell ref="A65:G65"/>
    <mergeCell ref="H65:AN65"/>
    <mergeCell ref="AO65:AU65"/>
    <mergeCell ref="AV65:BB65"/>
    <mergeCell ref="BC65:BP65"/>
    <mergeCell ref="BQ65:CD65"/>
    <mergeCell ref="A66:G66"/>
    <mergeCell ref="H66:AN66"/>
    <mergeCell ref="AO66:AU66"/>
    <mergeCell ref="AV66:BB66"/>
    <mergeCell ref="BC66:BP66"/>
    <mergeCell ref="BQ66:CD66"/>
    <mergeCell ref="AV68:BB68"/>
    <mergeCell ref="BC68:BP68"/>
    <mergeCell ref="BQ68:CD68"/>
    <mergeCell ref="A67:G67"/>
    <mergeCell ref="H67:AN67"/>
    <mergeCell ref="AO67:AU67"/>
    <mergeCell ref="AV67:BB67"/>
    <mergeCell ref="BC67:BP67"/>
    <mergeCell ref="BQ67:CD67"/>
    <mergeCell ref="AE69:AN69"/>
    <mergeCell ref="A70:D70"/>
    <mergeCell ref="E71:F71"/>
    <mergeCell ref="R71:V71"/>
    <mergeCell ref="AM71:AO71"/>
    <mergeCell ref="H68:AN68"/>
    <mergeCell ref="AO68:AU68"/>
    <mergeCell ref="CV72:DD72"/>
    <mergeCell ref="E73:F73"/>
    <mergeCell ref="R73:V73"/>
    <mergeCell ref="AM73:AO73"/>
    <mergeCell ref="AU73:BA73"/>
    <mergeCell ref="BC73:BD73"/>
    <mergeCell ref="BE73:BN73"/>
    <mergeCell ref="A68:G68"/>
    <mergeCell ref="E74:K74"/>
    <mergeCell ref="BC74:BD74"/>
    <mergeCell ref="BE74:BN74"/>
    <mergeCell ref="AU71:BA71"/>
    <mergeCell ref="BC71:BD71"/>
    <mergeCell ref="BE71:BN71"/>
    <mergeCell ref="A72:D72"/>
    <mergeCell ref="A69:D69"/>
    <mergeCell ref="AC69:AD69"/>
  </mergeCells>
  <printOptions/>
  <pageMargins left="0.7086614173228347" right="0.2362204724409449" top="0.2362204724409449" bottom="0.35433070866141736" header="0.11811023622047245" footer="0.11811023622047245"/>
  <pageSetup fitToHeight="0" fitToWidth="1" horizontalDpi="600" verticalDpi="600" orientation="portrait" paperSize="9" scale="96" r:id="rId1"/>
  <rowBreaks count="2" manualBreakCount="2">
    <brk id="25" max="98" man="1"/>
    <brk id="74" max="9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ЖКиСК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Скороходова Людмила Сабитовна</cp:lastModifiedBy>
  <cp:lastPrinted>2012-11-18T04:57:07Z</cp:lastPrinted>
  <dcterms:created xsi:type="dcterms:W3CDTF">2012-11-16T04:41:17Z</dcterms:created>
  <dcterms:modified xsi:type="dcterms:W3CDTF">2012-11-18T04:57:09Z</dcterms:modified>
  <cp:category/>
  <cp:version/>
  <cp:contentType/>
  <cp:contentStatus/>
</cp:coreProperties>
</file>